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Preliminaries" sheetId="5" state="visible" r:id="rId5"/>
    <sheet xmlns:r="http://schemas.openxmlformats.org/officeDocument/2006/relationships" name="Tender summary" sheetId="6" state="visible" r:id="rId6"/>
    <sheet xmlns:r="http://schemas.openxmlformats.org/officeDocument/2006/relationships" name="Quotation"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'Preliminaries'!$6:$6</definedName>
  </definedNames>
  <calcPr calcId="124519" fullCalcOnLoad="1"/>
</workbook>
</file>

<file path=xl/styles.xml><?xml version="1.0" encoding="utf-8"?>
<styleSheet xmlns="http://schemas.openxmlformats.org/spreadsheetml/2006/main">
  <numFmts count="6">
    <numFmt numFmtId="164" formatCode="yyyy-mm-dd"/>
    <numFmt numFmtId="165" formatCode="dd/mm/yyyy"/>
    <numFmt numFmtId="166" formatCode="General&quot;%&quot;"/>
    <numFmt numFmtId="167" formatCode="#,##0.00##"/>
    <numFmt numFmtId="168" formatCode="#,##0.00;(#,##0.00);&quot;-&quot;"/>
    <numFmt numFmtId="169"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1">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0">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0"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5"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6"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7" fontId="4" fillId="2" borderId="3" applyProtection="1" pivotButton="0" quotePrefix="0" xfId="0">
      <protection locked="0" hidden="0"/>
    </xf>
    <xf numFmtId="168"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7" fontId="4" fillId="5" borderId="3" applyProtection="1" pivotButton="0" quotePrefix="0" xfId="0">
      <protection locked="0" hidden="0"/>
    </xf>
    <xf numFmtId="0" fontId="7" fillId="0" borderId="0" applyAlignment="1" pivotButton="0" quotePrefix="0" xfId="0">
      <alignment horizontal="right" vertical="center"/>
    </xf>
    <xf numFmtId="168" fontId="7" fillId="6" borderId="4" pivotButton="0" quotePrefix="0" xfId="0"/>
    <xf numFmtId="169" fontId="7" fillId="6" borderId="4" pivotButton="0" quotePrefix="0" xfId="0"/>
    <xf numFmtId="0" fontId="3" fillId="0" borderId="0" applyAlignment="1" pivotButton="0" quotePrefix="0" xfId="0">
      <alignment horizontal="right" vertical="center"/>
    </xf>
    <xf numFmtId="169"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7" fontId="4" fillId="4" borderId="3" pivotButton="0" quotePrefix="0" xfId="0"/>
    <xf numFmtId="0" fontId="3" fillId="0" borderId="0" pivotButton="0" quotePrefix="0" xfId="0"/>
    <xf numFmtId="169"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9" fontId="4" fillId="4" borderId="3" pivotButton="0" quotePrefix="0" xfId="0"/>
    <xf numFmtId="0" fontId="11" fillId="6" borderId="0" pivotButton="0" quotePrefix="0" xfId="0"/>
    <xf numFmtId="169"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4" fillId="0" borderId="0" applyProtection="1" pivotButton="0" quotePrefix="0" xfId="0">
      <protection locked="0" hidden="0"/>
    </xf>
    <xf numFmtId="165" fontId="4" fillId="0" borderId="1" applyAlignment="1" applyProtection="1" pivotButton="0" quotePrefix="0" xfId="0">
      <alignment horizontal="left" vertical="top" wrapText="1"/>
      <protection locked="0" hidden="0"/>
    </xf>
    <xf numFmtId="0" fontId="4" fillId="0" borderId="1" applyAlignment="1" applyProtection="1" pivotButton="0" quotePrefix="0" xfId="0">
      <alignment horizontal="left" vertical="top" wrapText="1"/>
      <protection locked="0" hidden="0"/>
    </xf>
    <xf numFmtId="165"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8" applyAlignment="1" pivotButton="0" quotePrefix="0" xfId="0">
      <alignment vertical="center"/>
    </xf>
    <xf numFmtId="0" fontId="4" fillId="6" borderId="8" pivotButton="0" quotePrefix="0" xfId="0"/>
    <xf numFmtId="169" fontId="14" fillId="6" borderId="8" applyAlignment="1" pivotButton="0" quotePrefix="0" xfId="0">
      <alignment vertical="center"/>
    </xf>
    <xf numFmtId="169" fontId="3" fillId="0" borderId="1" pivotButton="0" quotePrefix="0" xfId="0"/>
    <xf numFmtId="169" fontId="7" fillId="0" borderId="1" pivotButton="0" quotePrefix="0" xfId="0"/>
    <xf numFmtId="0" fontId="4" fillId="0" borderId="9"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plant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penny.</t>
      </text>
    </comment>
    <comment ref="T6" authorId="0" shapeId="0">
      <text>
        <t>Quantity x material price x (1 + waste %), rounded to the penny.</t>
      </text>
    </comment>
    <comment ref="U6" authorId="0" shapeId="0">
      <text>
        <t>Hours x the plant rate, rounded to the penny. The hours are the crew's unless you typed plant hours.</t>
      </text>
    </comment>
    <comment ref="V6" authorId="0" shapeId="0">
      <text>
        <t>Labour + materials + plant.</t>
      </text>
    </comment>
    <comment ref="W6" authorId="0" shapeId="0">
      <text>
        <t>Line total divided by the quantity, rounded to the penny.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tender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tender: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penny.</t>
      </text>
    </comment>
  </commentList>
</comments>
</file>

<file path=xl/comments/comment4.xml><?xml version="1.0" encoding="utf-8"?>
<comments xmlns="http://schemas.openxmlformats.org/spreadsheetml/2006/main">
  <authors>
    <author>Bidfident</author>
  </authors>
  <commentLis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Tender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k/for/civils-and-groundworks/drainage-and-utilities/?utm_source=spreadsheet&amp;utm_medium=excel&amp;utm_campaign=utilities-uk&amp;utm_content=brand&amp;v=0.1" TargetMode="External" Id="rId1"/><Relationship Type="http://schemas.openxmlformats.org/officeDocument/2006/relationships/hyperlink" Target="https://bidfident.com/uk/for/civils-and-groundworks/drainage-and-utilities/?utm_source=spreadsheet&amp;utm_medium=excel&amp;utm_campaign=utilities-uk&amp;utm_content=version&amp;v=0.1" TargetMode="External" Id="rId2"/><Relationship Type="http://schemas.openxmlformats.org/officeDocument/2006/relationships/hyperlink" Target="https://bidfident.com/app/?from=uk.utilities&amp;utm_source=spreadsheet&amp;utm_medium=excel&amp;utm_campaign=utilities-uk&amp;utm_content=start&amp;v=0.1" TargetMode="External" Id="rId3"/><Relationship Type="http://schemas.openxmlformats.org/officeDocument/2006/relationships/hyperlink" Target="https://bidfident.com/app/?from=uk.utilities&amp;utm_source=spreadsheet&amp;utm_medium=excel&amp;utm_campaign=utilities-uk&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k/for/civils-and-groundworks/drainage-and-utilities/?utm_source=spreadsheet&amp;utm_medium=excel&amp;utm_campaign=utilities-uk&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k/for/civils-and-groundworks/drainage-and-utilities/?utm_source=spreadsheet&amp;utm_medium=excel&amp;utm_campaign=utilities-uk&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k/for/civils-and-groundworks/drainage-and-utilities/?utm_source=spreadsheet&amp;utm_medium=excel&amp;utm_campaign=utilities-uk&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k/for/civils-and-groundworks/drainage-and-utilities/?utm_source=spreadsheet&amp;utm_medium=excel&amp;utm_campaign=utilities-uk&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k/for/civils-and-groundworks/drainage-and-utilities/?utm_source=spreadsheet&amp;utm_medium=excel&amp;utm_campaign=utilities-uk&amp;utm_content=brand&amp;v=0.1" TargetMode="External" Id="rId1"/><Relationship Type="http://schemas.openxmlformats.org/officeDocument/2006/relationships/hyperlink" Target="https://bidfident.com/app/?from=uk.utilities&amp;utm_source=spreadsheet&amp;utm_medium=excel&amp;utm_campaign=utilities-uk&amp;utm_content=summary&amp;v=0.1" TargetMode="External" Id="rId2"/><Relationship Type="http://schemas.openxmlformats.org/officeDocument/2006/relationships/hyperlink" Target="https://bidfident.com/app/?from=uk.utilities&amp;utm_source=spreadsheet&amp;utm_medium=excel&amp;utm_campaign=utilities-uk&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k/?utm_source=spreadsheet&amp;utm_medium=excel&amp;utm_campaign=utilities-uk&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k/for/civils-and-groundworks/drainage-and-utilities/?utm_source=spreadsheet&amp;utm_medium=excel&amp;utm_campaign=utilities-uk&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Drainage and utilities: estimate</t>
        </is>
      </c>
    </row>
    <row r="3">
      <c r="B3" s="3" t="inlineStr">
        <is>
          <t>United Kingdom version, with a worked example</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drainage and utilities. Price your work line by line, compare subcontractor quotes, add your running costs and profit, and get a tender total that adds up to the penny. Every figure is worked out by a formula, so change a rate or a quantity and everything follows.</t>
        </is>
      </c>
    </row>
    <row r="8" ht="60" customHeight="1">
      <c r="B8" s="6" t="inlineStr">
        <is>
          <t>This copy</t>
        </is>
      </c>
      <c r="C8" s="7" t="inlineStr">
        <is>
          <t>This copy is filled in with a worked example: drainage and water mains for a 24-plot housing phase, Bicester, Oxfordshire. It is a made-up job with realistic figures, so you can see how it all fits. Change any yellow cell and watch the tender change. The blank copy has the same layout, empty.</t>
        </is>
      </c>
    </row>
    <row r="10" ht="20" customHeight="1">
      <c r="B10" s="4" t="inlineStr">
        <is>
          <t>How to use it, in five steps</t>
        </is>
      </c>
      <c r="C10" s="5" t="n"/>
    </row>
    <row r="11" ht="32" customHeight="1">
      <c r="B11" s="8" t="inlineStr">
        <is>
          <t>1  Rates</t>
        </is>
      </c>
      <c r="C11" s="7" t="inlineStr">
        <is>
          <t>Type your hourly rates for each trade and each piece of plant, the job length in weeks, and your percentages (contingency, overheads and profit, bond, insurance, VAT).</t>
        </is>
      </c>
    </row>
    <row r="12" ht="60" customHeight="1">
      <c r="B12" s="8" t="inlineStr">
        <is>
          <t>2  Estimate</t>
        </is>
      </c>
      <c r="C12" s="7" t="inlineStr">
        <is>
          <t>One row for each line of work. Type the quantity, the hours each unit takes and what the materials cost. Pick the trade and plant from the lists, and a cost code from the Codes tab, or type your own. Mark a line Excluded to price it without counting it, for example an option. A line that needs a look turns pink.</t>
        </is>
      </c>
    </row>
    <row r="13" ht="46" customHeight="1">
      <c r="B13" s="8" t="inlineStr">
        <is>
          <t>3  Subcontractors and preliminaries</t>
        </is>
      </c>
      <c r="C13" s="7" t="inlineStr">
        <is>
          <t>On the Subcontractors tab, type the quotes you have for each package. The lowest is carried unless you pick another. On the Preliminaries tab, add running costs; weekly and monthly ones follow the job length.</t>
        </is>
      </c>
    </row>
    <row r="14" ht="32" customHeight="1">
      <c r="B14" s="8" t="inlineStr">
        <is>
          <t>4  Tender summary</t>
        </is>
      </c>
      <c r="C14" s="7" t="inlineStr">
        <is>
          <t>Your tender total, worked out in order: direct cost, contingency, overheads and profit, bond, insurance. Nothing to type here.</t>
        </is>
      </c>
    </row>
    <row r="15" ht="46" customHeight="1">
      <c r="B15" s="8" t="inlineStr">
        <is>
          <t>5  Quotation</t>
        </is>
      </c>
      <c r="C15" s="7" t="inlineStr">
        <is>
          <t>A one-page quotation to send to your customer. Type your details, the scope and what is not included; the price comes from the Tender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Plant = hours x its rate. Each of those is rounded to the penny, half up, and a line is their sum. Quantities, hours and rates are never rounded, and totals add up the rounded amounts, so every column adds up exactly.
Then: direct cost = own work + subcontractors + preliminaries. Contingency is a percentage of the direct cost, overheads and profit of direct cost plus contingency. Bond and insurance are each a percentage of the subtotal before them (not of each other). VAT is shown beside the tender total and is not part of it.</t>
        </is>
      </c>
    </row>
    <row r="24" ht="20" customHeight="1">
      <c r="B24" s="4" t="inlineStr">
        <is>
          <t>Good to know</t>
        </is>
      </c>
      <c r="C24" s="5" t="n"/>
    </row>
    <row r="25" ht="60" customHeight="1">
      <c r="B25" s="6" t="inlineStr">
        <is>
          <t>Locked cells</t>
        </is>
      </c>
      <c r="C25" s="7" t="inlineStr">
        <is>
          <t>Only the yellow cells, and the boxes on the Quotation,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tender. Free to use for your own tenders; please do not resell it.</t>
        </is>
      </c>
    </row>
    <row r="29" ht="20" customHeight="1">
      <c r="B29" s="4" t="inlineStr">
        <is>
          <t>When your spreadsheet gets heavy</t>
        </is>
      </c>
      <c r="C29" s="5" t="n"/>
    </row>
    <row r="30" ht="60" customHeight="1">
      <c r="B30" s="6" t="inlineStr"/>
      <c r="C30" s="7" t="inlineStr">
        <is>
          <t>If you end up with lots of tenders, changing rates, or more than one person working on them, Bidfident does the same sums on a page, keeps every tender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tender. Yellow cells are for you.</t>
        </is>
      </c>
    </row>
    <row r="4" ht="6" customHeight="1"/>
    <row r="5" ht="20" customHeight="1">
      <c r="B5" s="4" t="inlineStr">
        <is>
          <t>Job details</t>
        </is>
      </c>
      <c r="C5" s="5" t="n"/>
      <c r="D5" s="5" t="n"/>
    </row>
    <row r="6" ht="28" customHeight="1">
      <c r="B6" s="15" t="inlineStr">
        <is>
          <t>Job name</t>
        </is>
      </c>
      <c r="C6" s="16" t="inlineStr">
        <is>
          <t>Housing phase, drainage and water (example)</t>
        </is>
      </c>
      <c r="D6" s="17" t="inlineStr">
        <is>
          <t>Shown on the Tender summary tab.</t>
        </is>
      </c>
    </row>
    <row r="7" ht="16.5" customHeight="1">
      <c r="B7" s="15" t="inlineStr">
        <is>
          <t>Location</t>
        </is>
      </c>
      <c r="C7" s="16" t="inlineStr">
        <is>
          <t>Bicester, Oxfordshire</t>
        </is>
      </c>
      <c r="D7" s="17" t="inlineStr"/>
    </row>
    <row r="8" ht="16.5" customHeight="1">
      <c r="B8" s="15" t="inlineStr">
        <is>
          <t>Tender due</t>
        </is>
      </c>
      <c r="C8" s="18" t="n">
        <v>46367</v>
      </c>
      <c r="D8" s="17" t="inlineStr"/>
    </row>
    <row r="9" ht="16.5" customHeight="1">
      <c r="B9" s="15" t="inlineStr">
        <is>
          <t>Job length (weeks)</t>
        </is>
      </c>
      <c r="C9" s="19" t="n">
        <v>7</v>
      </c>
      <c r="D9" s="17" t="inlineStr">
        <is>
          <t>Weekly and monthly items on the Preliminaries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Plant operator</t>
        </is>
      </c>
      <c r="C13" s="23" t="n">
        <v>30</v>
      </c>
    </row>
    <row r="14" ht="16.5" customHeight="1">
      <c r="B14" s="22" t="inlineStr">
        <is>
          <t>Pipelayer</t>
        </is>
      </c>
      <c r="C14" s="23" t="n">
        <v>29</v>
      </c>
    </row>
    <row r="15" ht="16.5" customHeight="1">
      <c r="B15" s="22" t="inlineStr">
        <is>
          <t>Groundworker</t>
        </is>
      </c>
      <c r="C15" s="23" t="n">
        <v>28</v>
      </c>
    </row>
    <row r="16" ht="16.5" customHeight="1">
      <c r="B16" s="22" t="inlineStr">
        <is>
          <t>Pipe gang foreman</t>
        </is>
      </c>
      <c r="C16" s="23" t="n">
        <v>36</v>
      </c>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v>28</v>
      </c>
      <c r="D23" s="1" t="inlineStr">
        <is>
          <t>Used for a line that has hours but no trade, or a trade that is not on this list.</t>
        </is>
      </c>
    </row>
    <row r="24"/>
    <row r="25" ht="20" customHeight="1">
      <c r="B25" s="4" t="inlineStr">
        <is>
          <t>Plant rates</t>
        </is>
      </c>
      <c r="C25" s="5" t="n"/>
      <c r="D25" s="5" t="n"/>
    </row>
    <row r="26" ht="18" customHeight="1">
      <c r="B26" s="20" t="inlineStr">
        <is>
          <t>Plant</t>
        </is>
      </c>
      <c r="C26" s="21" t="inlineStr">
        <is>
          <t>Rate per hour (£)</t>
        </is>
      </c>
      <c r="D26" s="1" t="inlineStr">
        <is>
          <t>Pick it by this name in the Plant column on the Estimate tab.</t>
        </is>
      </c>
    </row>
    <row r="27" ht="16.5" customHeight="1">
      <c r="B27" s="22" t="inlineStr">
        <is>
          <t>Excavator, 30 t (360)</t>
        </is>
      </c>
      <c r="C27" s="23" t="n">
        <v>75</v>
      </c>
    </row>
    <row r="28" ht="16.5" customHeight="1">
      <c r="B28" s="22" t="inlineStr">
        <is>
          <t>Backhoe loader</t>
        </is>
      </c>
      <c r="C28" s="23" t="n">
        <v>38</v>
      </c>
    </row>
    <row r="29" ht="16.5" customHeight="1">
      <c r="B29" s="22" t="inlineStr">
        <is>
          <t>Plate compactor</t>
        </is>
      </c>
      <c r="C29" s="23" t="n">
        <v>5</v>
      </c>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v>4</v>
      </c>
      <c r="D35" s="1" t="inlineStr">
        <is>
          <t>Added to the direct cost, for what you cannot yet see.</t>
        </is>
      </c>
    </row>
    <row r="36" ht="16.5" customHeight="1">
      <c r="B36" s="15" t="inlineStr">
        <is>
          <t>Overheads and profit (%)</t>
        </is>
      </c>
      <c r="C36" s="26" t="n">
        <v>10</v>
      </c>
      <c r="D36" s="1" t="inlineStr">
        <is>
          <t>Your profit, added to the direct cost plus contingency.</t>
        </is>
      </c>
    </row>
    <row r="37" ht="16.5" customHeight="1">
      <c r="B37" s="15" t="inlineStr">
        <is>
          <t>Bond (%)</t>
        </is>
      </c>
      <c r="C37" s="26" t="n">
        <v>1</v>
      </c>
      <c r="D37" s="1" t="inlineStr">
        <is>
          <t>Taken from the subtotal. Leave at 0 if you are not bonded.</t>
        </is>
      </c>
    </row>
    <row r="38" ht="16.5" customHeight="1">
      <c r="B38" s="15" t="inlineStr">
        <is>
          <t>Insurance (%)</t>
        </is>
      </c>
      <c r="C38" s="26" t="n">
        <v>0.5</v>
      </c>
      <c r="D38" s="1" t="inlineStr">
        <is>
          <t>Taken from the same subtotal as bond, not from each other.</t>
        </is>
      </c>
    </row>
    <row r="39" ht="16.5" customHeight="1">
      <c r="B39" s="15" t="inlineStr">
        <is>
          <t>VAT (%)</t>
        </is>
      </c>
      <c r="C39" s="26" t="n">
        <v>20</v>
      </c>
      <c r="D39" s="1" t="inlineStr">
        <is>
          <t>Shown for reference, apart from the tender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Drainage and utilities: estimate</t>
        </is>
      </c>
    </row>
    <row r="3" ht="50" customHeight="1">
      <c r="B3" s="14" t="inlineStr">
        <is>
          <t>One row per line of work. Type in the yellow cells; the grey cells are worked out for you. Hours, labour, materials and equipment are each rounded to the penny,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Plant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plant</t>
        </is>
      </c>
      <c r="V6" s="29" t="inlineStr">
        <is>
          <t>Line total</t>
        </is>
      </c>
      <c r="W6" s="29" t="inlineStr">
        <is>
          <t>Line price per unit</t>
        </is>
      </c>
      <c r="X6" s="28" t="inlineStr">
        <is>
          <t>Check this line</t>
        </is>
      </c>
    </row>
    <row r="7">
      <c r="B7" s="30" t="inlineStr">
        <is>
          <t>33.200</t>
        </is>
      </c>
      <c r="C7" s="22" t="inlineStr">
        <is>
          <t>Aspen Close</t>
        </is>
      </c>
      <c r="D7" s="31" t="inlineStr">
        <is>
          <t>Trench excavation and backfill</t>
        </is>
      </c>
      <c r="E7" s="22" t="n">
        <v>1200</v>
      </c>
      <c r="F7" s="22" t="inlineStr">
        <is>
          <t>m3</t>
        </is>
      </c>
      <c r="G7" s="22" t="inlineStr">
        <is>
          <t>Plant operator</t>
        </is>
      </c>
      <c r="H7" s="22" t="n">
        <v>0.09</v>
      </c>
      <c r="I7" s="32" t="n"/>
      <c r="J7" s="32" t="n">
        <v>0</v>
      </c>
      <c r="K7" s="22" t="n">
        <v>0</v>
      </c>
      <c r="L7" s="22" t="inlineStr">
        <is>
          <t>Excavator, 30 t (360)</t>
        </is>
      </c>
      <c r="M7" s="22" t="inlineStr">
        <is>
          <t>Trench</t>
        </is>
      </c>
      <c r="N7" s="22" t="n">
        <v>0.04</v>
      </c>
      <c r="O7" s="22" t="n"/>
      <c r="P7" s="31" t="n"/>
      <c r="Q7" s="33">
        <f>IF($E7="","",$E7*$H7)</f>
        <v>108</v>
      </c>
      <c r="R7" s="33">
        <f>IF($E7="","",IF($I7&lt;&gt;"",$I7,IF($G7="",Rates!$C$23,IFERROR(INDEX(Rates!$C$13:$C$22,MATCH($G7,Rates!$B$13:$B$22,0)),Rates!$C$23))))</f>
        <v>30</v>
      </c>
      <c r="S7" s="33">
        <f>IF($E7="","",ROUND($Q7*$R7,2))</f>
        <v>3240</v>
      </c>
      <c r="T7" s="33">
        <f>IF($E7="","",ROUND($E7*$J7*(1+$K7/100),2))</f>
        <v>0</v>
      </c>
      <c r="U7" s="33">
        <f>IF($E7="","",ROUND(IF($N7&lt;&gt;"",$E7*$N7,$Q7)*IF($L7="",0,IFERROR(INDEX(Rates!$C$27:$C$32,MATCH($L7,Rates!$B$27:$B$32,0)),0)),2))</f>
        <v>3600</v>
      </c>
      <c r="V7" s="33">
        <f>IF($E7="","",ROUND($S7+$T7+$U7,2))</f>
        <v>6840</v>
      </c>
      <c r="W7" s="33">
        <f>IF($E7="","",IF($E7=0,0,ROUND($V7/$E7,2)))</f>
        <v>5.7</v>
      </c>
      <c r="X7" s="34" t="str">
        <f>IF($E7="","",TRIM(IF(OR($I7&lt;&gt;"",$G7="",$Q7=0),"",IF(ISNA(MATCH($G7,Rates!$B$13:$B$22,0)),"Trade is not on your Rates list: priced at the standard rate. ",IF(INDEX(Rates!$C$13:$C$22,MATCH($G7,Rates!$B$13:$B$22,0))="","No rate typed yet for this trade. ","")))&amp;IF($L7="","",IF(ISNA(MATCH($L7,Rates!$B$27:$B$32,0)),"Plant is not on your Rates list: no cost added. ",IF(INDEX(Rates!$C$27:$C$32,MATCH($L7,Rates!$B$27:$B$32,0))="","No rate typed yet for this plant. ","")))))</f>
        <v/>
      </c>
    </row>
    <row r="8">
      <c r="B8" s="35" t="inlineStr">
        <is>
          <t>33.110</t>
        </is>
      </c>
      <c r="C8" s="36" t="inlineStr">
        <is>
          <t>Aspen Close</t>
        </is>
      </c>
      <c r="D8" s="37" t="inlineStr">
        <is>
          <t>PVC-U foul sewer, 200 mm</t>
        </is>
      </c>
      <c r="E8" s="36" t="n">
        <v>360</v>
      </c>
      <c r="F8" s="36" t="inlineStr">
        <is>
          <t>m</t>
        </is>
      </c>
      <c r="G8" s="36" t="inlineStr">
        <is>
          <t>Pipelayer</t>
        </is>
      </c>
      <c r="H8" s="36" t="n">
        <v>0.35</v>
      </c>
      <c r="I8" s="38" t="n"/>
      <c r="J8" s="38" t="n">
        <v>22</v>
      </c>
      <c r="K8" s="36" t="n">
        <v>3</v>
      </c>
      <c r="L8" s="36" t="n"/>
      <c r="M8" s="36" t="inlineStr">
        <is>
          <t>Foul sewer</t>
        </is>
      </c>
      <c r="N8" s="36" t="n"/>
      <c r="O8" s="36" t="n"/>
      <c r="P8" s="37" t="n"/>
      <c r="Q8" s="33">
        <f>IF($E8="","",$E8*$H8)</f>
        <v>125.99999999999999</v>
      </c>
      <c r="R8" s="33">
        <f>IF($E8="","",IF($I8&lt;&gt;"",$I8,IF($G8="",Rates!$C$23,IFERROR(INDEX(Rates!$C$13:$C$22,MATCH($G8,Rates!$B$13:$B$22,0)),Rates!$C$23))))</f>
        <v>29</v>
      </c>
      <c r="S8" s="33">
        <f>IF($E8="","",ROUND($Q8*$R8,2))</f>
        <v>3654</v>
      </c>
      <c r="T8" s="33">
        <f>IF($E8="","",ROUND($E8*$J8*(1+$K8/100),2))</f>
        <v>8157.6</v>
      </c>
      <c r="U8" s="33">
        <f>IF($E8="","",ROUND(IF($N8&lt;&gt;"",$E8*$N8,$Q8)*IF($L8="",0,IFERROR(INDEX(Rates!$C$27:$C$32,MATCH($L8,Rates!$B$27:$B$32,0)),0)),2))</f>
        <v>0</v>
      </c>
      <c r="V8" s="33">
        <f>IF($E8="","",ROUND($S8+$T8+$U8,2))</f>
        <v>11811.6</v>
      </c>
      <c r="W8" s="33">
        <f>IF($E8="","",IF($E8=0,0,ROUND($V8/$E8,2)))</f>
        <v>32.81</v>
      </c>
      <c r="X8" s="34" t="str">
        <f>IF($E8="","",TRIM(IF(OR($I8&lt;&gt;"",$G8="",$Q8=0),"",IF(ISNA(MATCH($G8,Rates!$B$13:$B$22,0)),"Trade is not on your Rates list: priced at the standard rate. ",IF(INDEX(Rates!$C$13:$C$22,MATCH($G8,Rates!$B$13:$B$22,0))="","No rate typed yet for this trade. ","")))&amp;IF($L8="","",IF(ISNA(MATCH($L8,Rates!$B$27:$B$32,0)),"Plant is not on your Rates list: no cost added. ",IF(INDEX(Rates!$C$27:$C$32,MATCH($L8,Rates!$B$27:$B$32,0))="","No rate typed yet for this plant. ","")))))</f>
        <v/>
      </c>
    </row>
    <row r="9">
      <c r="B9" s="30" t="inlineStr">
        <is>
          <t>33.100</t>
        </is>
      </c>
      <c r="C9" s="22" t="inlineStr">
        <is>
          <t>Aspen Close</t>
        </is>
      </c>
      <c r="D9" s="31" t="inlineStr">
        <is>
          <t>PE water main, 150 mm</t>
        </is>
      </c>
      <c r="E9" s="22" t="n">
        <v>340</v>
      </c>
      <c r="F9" s="22" t="inlineStr">
        <is>
          <t>m</t>
        </is>
      </c>
      <c r="G9" s="22" t="inlineStr">
        <is>
          <t>Pipelayer</t>
        </is>
      </c>
      <c r="H9" s="22" t="n">
        <v>0.3</v>
      </c>
      <c r="I9" s="32" t="n"/>
      <c r="J9" s="32" t="n">
        <v>26</v>
      </c>
      <c r="K9" s="22" t="n">
        <v>3</v>
      </c>
      <c r="L9" s="22" t="n"/>
      <c r="M9" s="22" t="inlineStr">
        <is>
          <t>Water main</t>
        </is>
      </c>
      <c r="N9" s="22" t="n"/>
      <c r="O9" s="22" t="n"/>
      <c r="P9" s="31" t="n"/>
      <c r="Q9" s="33">
        <f>IF($E9="","",$E9*$H9)</f>
        <v>102</v>
      </c>
      <c r="R9" s="33">
        <f>IF($E9="","",IF($I9&lt;&gt;"",$I9,IF($G9="",Rates!$C$23,IFERROR(INDEX(Rates!$C$13:$C$22,MATCH($G9,Rates!$B$13:$B$22,0)),Rates!$C$23))))</f>
        <v>29</v>
      </c>
      <c r="S9" s="33">
        <f>IF($E9="","",ROUND($Q9*$R9,2))</f>
        <v>2958</v>
      </c>
      <c r="T9" s="33">
        <f>IF($E9="","",ROUND($E9*$J9*(1+$K9/100),2))</f>
        <v>9105.2</v>
      </c>
      <c r="U9" s="33">
        <f>IF($E9="","",ROUND(IF($N9&lt;&gt;"",$E9*$N9,$Q9)*IF($L9="",0,IFERROR(INDEX(Rates!$C$27:$C$32,MATCH($L9,Rates!$B$27:$B$32,0)),0)),2))</f>
        <v>0</v>
      </c>
      <c r="V9" s="33">
        <f>IF($E9="","",ROUND($S9+$T9+$U9,2))</f>
        <v>12063.2</v>
      </c>
      <c r="W9" s="33">
        <f>IF($E9="","",IF($E9=0,0,ROUND($V9/$E9,2)))</f>
        <v>35.48</v>
      </c>
      <c r="X9" s="34" t="str">
        <f>IF($E9="","",TRIM(IF(OR($I9&lt;&gt;"",$G9="",$Q9=0),"",IF(ISNA(MATCH($G9,Rates!$B$13:$B$22,0)),"Trade is not on your Rates list: priced at the standard rate. ",IF(INDEX(Rates!$C$13:$C$22,MATCH($G9,Rates!$B$13:$B$22,0))="","No rate typed yet for this trade. ","")))&amp;IF($L9="","",IF(ISNA(MATCH($L9,Rates!$B$27:$B$32,0)),"Plant is not on your Rates list: no cost added. ",IF(INDEX(Rates!$C$27:$C$32,MATCH($L9,Rates!$B$27:$B$32,0))="","No rate typed yet for this plant. ","")))))</f>
        <v/>
      </c>
    </row>
    <row r="10">
      <c r="B10" s="35" t="inlineStr">
        <is>
          <t>33.130</t>
        </is>
      </c>
      <c r="C10" s="36" t="inlineStr">
        <is>
          <t>Aspen Close</t>
        </is>
      </c>
      <c r="D10" s="37" t="inlineStr">
        <is>
          <t>Precast concrete manholes, 1200 mm rings</t>
        </is>
      </c>
      <c r="E10" s="36" t="n">
        <v>5</v>
      </c>
      <c r="F10" s="36" t="inlineStr">
        <is>
          <t>nr</t>
        </is>
      </c>
      <c r="G10" s="36" t="inlineStr">
        <is>
          <t>Pipelayer</t>
        </is>
      </c>
      <c r="H10" s="36" t="n">
        <v>10</v>
      </c>
      <c r="I10" s="38" t="n"/>
      <c r="J10" s="38" t="n">
        <v>2400</v>
      </c>
      <c r="K10" s="36" t="n">
        <v>0</v>
      </c>
      <c r="L10" s="36" t="inlineStr">
        <is>
          <t>Excavator, 30 t (360)</t>
        </is>
      </c>
      <c r="M10" s="36" t="inlineStr">
        <is>
          <t>Foul sewer</t>
        </is>
      </c>
      <c r="N10" s="36" t="n">
        <v>3</v>
      </c>
      <c r="O10" s="36" t="n"/>
      <c r="P10" s="37" t="n"/>
      <c r="Q10" s="33">
        <f>IF($E10="","",$E10*$H10)</f>
        <v>50</v>
      </c>
      <c r="R10" s="33">
        <f>IF($E10="","",IF($I10&lt;&gt;"",$I10,IF($G10="",Rates!$C$23,IFERROR(INDEX(Rates!$C$13:$C$22,MATCH($G10,Rates!$B$13:$B$22,0)),Rates!$C$23))))</f>
        <v>29</v>
      </c>
      <c r="S10" s="33">
        <f>IF($E10="","",ROUND($Q10*$R10,2))</f>
        <v>1450</v>
      </c>
      <c r="T10" s="33">
        <f>IF($E10="","",ROUND($E10*$J10*(1+$K10/100),2))</f>
        <v>12000</v>
      </c>
      <c r="U10" s="33">
        <f>IF($E10="","",ROUND(IF($N10&lt;&gt;"",$E10*$N10,$Q10)*IF($L10="",0,IFERROR(INDEX(Rates!$C$27:$C$32,MATCH($L10,Rates!$B$27:$B$32,0)),0)),2))</f>
        <v>1125</v>
      </c>
      <c r="V10" s="33">
        <f>IF($E10="","",ROUND($S10+$T10+$U10,2))</f>
        <v>14575</v>
      </c>
      <c r="W10" s="33">
        <f>IF($E10="","",IF($E10=0,0,ROUND($V10/$E10,2)))</f>
        <v>2915</v>
      </c>
      <c r="X10" s="34" t="str">
        <f>IF($E10="","",TRIM(IF(OR($I10&lt;&gt;"",$G10="",$Q10=0),"",IF(ISNA(MATCH($G10,Rates!$B$13:$B$22,0)),"Trade is not on your Rates list: priced at the standard rate. ",IF(INDEX(Rates!$C$13:$C$22,MATCH($G10,Rates!$B$13:$B$22,0))="","No rate typed yet for this trade. ","")))&amp;IF($L10="","",IF(ISNA(MATCH($L10,Rates!$B$27:$B$32,0)),"Plant is not on your Rates list: no cost added. ",IF(INDEX(Rates!$C$27:$C$32,MATCH($L10,Rates!$B$27:$B$32,0))="","No rate typed yet for this plant. ","")))))</f>
        <v/>
      </c>
    </row>
    <row r="11">
      <c r="B11" s="30" t="inlineStr">
        <is>
          <t>33.190</t>
        </is>
      </c>
      <c r="C11" s="22" t="inlineStr">
        <is>
          <t>Aspen Close</t>
        </is>
      </c>
      <c r="D11" s="31" t="inlineStr">
        <is>
          <t>Pipe bedding and surround, 20 mm gravel</t>
        </is>
      </c>
      <c r="E11" s="22" t="n">
        <v>270</v>
      </c>
      <c r="F11" s="22" t="inlineStr">
        <is>
          <t>m3</t>
        </is>
      </c>
      <c r="G11" s="22" t="inlineStr">
        <is>
          <t>Groundworker</t>
        </is>
      </c>
      <c r="H11" s="22" t="n">
        <v>0.1</v>
      </c>
      <c r="I11" s="32" t="n"/>
      <c r="J11" s="32" t="n">
        <v>42</v>
      </c>
      <c r="K11" s="22" t="n">
        <v>10</v>
      </c>
      <c r="L11" s="22" t="n"/>
      <c r="M11" s="22" t="inlineStr">
        <is>
          <t>Trench</t>
        </is>
      </c>
      <c r="N11" s="22" t="n"/>
      <c r="O11" s="22" t="n"/>
      <c r="P11" s="31" t="n"/>
      <c r="Q11" s="33">
        <f>IF($E11="","",$E11*$H11)</f>
        <v>27</v>
      </c>
      <c r="R11" s="33">
        <f>IF($E11="","",IF($I11&lt;&gt;"",$I11,IF($G11="",Rates!$C$23,IFERROR(INDEX(Rates!$C$13:$C$22,MATCH($G11,Rates!$B$13:$B$22,0)),Rates!$C$23))))</f>
        <v>28</v>
      </c>
      <c r="S11" s="33">
        <f>IF($E11="","",ROUND($Q11*$R11,2))</f>
        <v>756</v>
      </c>
      <c r="T11" s="33">
        <f>IF($E11="","",ROUND($E11*$J11*(1+$K11/100),2))</f>
        <v>12474</v>
      </c>
      <c r="U11" s="33">
        <f>IF($E11="","",ROUND(IF($N11&lt;&gt;"",$E11*$N11,$Q11)*IF($L11="",0,IFERROR(INDEX(Rates!$C$27:$C$32,MATCH($L11,Rates!$B$27:$B$32,0)),0)),2))</f>
        <v>0</v>
      </c>
      <c r="V11" s="33">
        <f>IF($E11="","",ROUND($S11+$T11+$U11,2))</f>
        <v>13230</v>
      </c>
      <c r="W11" s="33">
        <f>IF($E11="","",IF($E11=0,0,ROUND($V11/$E11,2)))</f>
        <v>49</v>
      </c>
      <c r="X11" s="34" t="str">
        <f>IF($E11="","",TRIM(IF(OR($I11&lt;&gt;"",$G11="",$Q11=0),"",IF(ISNA(MATCH($G11,Rates!$B$13:$B$22,0)),"Trade is not on your Rates list: priced at the standard rate. ",IF(INDEX(Rates!$C$13:$C$22,MATCH($G11,Rates!$B$13:$B$22,0))="","No rate typed yet for this trade. ","")))&amp;IF($L11="","",IF(ISNA(MATCH($L11,Rates!$B$27:$B$32,0)),"Plant is not on your Rates list: no cost added. ",IF(INDEX(Rates!$C$27:$C$32,MATCH($L11,Rates!$B$27:$B$32,0))="","No rate typed yet for this plant. ","")))))</f>
        <v/>
      </c>
    </row>
    <row r="12">
      <c r="B12" s="35" t="inlineStr">
        <is>
          <t>33.100</t>
        </is>
      </c>
      <c r="C12" s="36" t="inlineStr">
        <is>
          <t>Aspen Close</t>
        </is>
      </c>
      <c r="D12" s="37" t="inlineStr">
        <is>
          <t>Option 1: upsize water main to 180 mm, extra over</t>
        </is>
      </c>
      <c r="E12" s="36" t="n">
        <v>340</v>
      </c>
      <c r="F12" s="36" t="inlineStr">
        <is>
          <t>m</t>
        </is>
      </c>
      <c r="G12" s="36" t="inlineStr">
        <is>
          <t>Pipelayer</t>
        </is>
      </c>
      <c r="H12" s="36" t="n">
        <v>0.05</v>
      </c>
      <c r="I12" s="38" t="n"/>
      <c r="J12" s="38" t="n">
        <v>12</v>
      </c>
      <c r="K12" s="36" t="n">
        <v>3</v>
      </c>
      <c r="L12" s="36" t="n"/>
      <c r="M12" s="36" t="inlineStr">
        <is>
          <t>Water main</t>
        </is>
      </c>
      <c r="N12" s="36" t="n"/>
      <c r="O12" s="36" t="inlineStr">
        <is>
          <t>Yes</t>
        </is>
      </c>
      <c r="P12" s="37" t="n"/>
      <c r="Q12" s="33">
        <f>IF($E12="","",$E12*$H12)</f>
        <v>17</v>
      </c>
      <c r="R12" s="33">
        <f>IF($E12="","",IF($I12&lt;&gt;"",$I12,IF($G12="",Rates!$C$23,IFERROR(INDEX(Rates!$C$13:$C$22,MATCH($G12,Rates!$B$13:$B$22,0)),Rates!$C$23))))</f>
        <v>29</v>
      </c>
      <c r="S12" s="33">
        <f>IF($E12="","",ROUND($Q12*$R12,2))</f>
        <v>493</v>
      </c>
      <c r="T12" s="33">
        <f>IF($E12="","",ROUND($E12*$J12*(1+$K12/100),2))</f>
        <v>4202.4</v>
      </c>
      <c r="U12" s="33">
        <f>IF($E12="","",ROUND(IF($N12&lt;&gt;"",$E12*$N12,$Q12)*IF($L12="",0,IFERROR(INDEX(Rates!$C$27:$C$32,MATCH($L12,Rates!$B$27:$B$32,0)),0)),2))</f>
        <v>0</v>
      </c>
      <c r="V12" s="33">
        <f>IF($E12="","",ROUND($S12+$T12+$U12,2))</f>
        <v>4695.4</v>
      </c>
      <c r="W12" s="33">
        <f>IF($E12="","",IF($E12=0,0,ROUND($V12/$E12,2)))</f>
        <v>13.81</v>
      </c>
      <c r="X12" s="34" t="str">
        <f>IF($E12="","",TRIM(IF(OR($I12&lt;&gt;"",$G12="",$Q12=0),"",IF(ISNA(MATCH($G12,Rates!$B$13:$B$22,0)),"Trade is not on your Rates list: priced at the standard rate. ",IF(INDEX(Rates!$C$13:$C$22,MATCH($G12,Rates!$B$13:$B$22,0))="","No rate typed yet for this trade. ","")))&amp;IF($L12="","",IF(ISNA(MATCH($L12,Rates!$B$27:$B$32,0)),"Plant is not on your Rates list: no cost added. ",IF(INDEX(Rates!$C$27:$C$32,MATCH($L12,Rates!$B$27:$B$32,0))="","No rate typed yet for this plant. ","")))))</f>
        <v/>
      </c>
    </row>
    <row r="13">
      <c r="B13" s="30" t="inlineStr">
        <is>
          <t>33.170</t>
        </is>
      </c>
      <c r="C13" s="22" t="inlineStr">
        <is>
          <t>Aspen Close</t>
        </is>
      </c>
      <c r="D13" s="31" t="inlineStr">
        <is>
          <t>Sluice valve and surface box, 150 mm</t>
        </is>
      </c>
      <c r="E13" s="22" t="n">
        <v>4</v>
      </c>
      <c r="F13" s="22" t="inlineStr">
        <is>
          <t>nr</t>
        </is>
      </c>
      <c r="G13" s="22" t="inlineStr">
        <is>
          <t>Pipelayer</t>
        </is>
      </c>
      <c r="H13" s="22" t="n">
        <v>3</v>
      </c>
      <c r="I13" s="32" t="n"/>
      <c r="J13" s="32" t="n">
        <v>620</v>
      </c>
      <c r="K13" s="22" t="n">
        <v>0</v>
      </c>
      <c r="L13" s="22" t="inlineStr">
        <is>
          <t>Excavator, 30 t (360)</t>
        </is>
      </c>
      <c r="M13" s="22" t="inlineStr">
        <is>
          <t>Water main</t>
        </is>
      </c>
      <c r="N13" s="22" t="n">
        <v>1</v>
      </c>
      <c r="O13" s="22" t="n"/>
      <c r="P13" s="31" t="n"/>
      <c r="Q13" s="33">
        <f>IF($E13="","",$E13*$H13)</f>
        <v>12</v>
      </c>
      <c r="R13" s="33">
        <f>IF($E13="","",IF($I13&lt;&gt;"",$I13,IF($G13="",Rates!$C$23,IFERROR(INDEX(Rates!$C$13:$C$22,MATCH($G13,Rates!$B$13:$B$22,0)),Rates!$C$23))))</f>
        <v>29</v>
      </c>
      <c r="S13" s="33">
        <f>IF($E13="","",ROUND($Q13*$R13,2))</f>
        <v>348</v>
      </c>
      <c r="T13" s="33">
        <f>IF($E13="","",ROUND($E13*$J13*(1+$K13/100),2))</f>
        <v>2480</v>
      </c>
      <c r="U13" s="33">
        <f>IF($E13="","",ROUND(IF($N13&lt;&gt;"",$E13*$N13,$Q13)*IF($L13="",0,IFERROR(INDEX(Rates!$C$27:$C$32,MATCH($L13,Rates!$B$27:$B$32,0)),0)),2))</f>
        <v>300</v>
      </c>
      <c r="V13" s="33">
        <f>IF($E13="","",ROUND($S13+$T13+$U13,2))</f>
        <v>3128</v>
      </c>
      <c r="W13" s="33">
        <f>IF($E13="","",IF($E13=0,0,ROUND($V13/$E13,2)))</f>
        <v>782</v>
      </c>
      <c r="X13" s="34" t="str">
        <f>IF($E13="","",TRIM(IF(OR($I13&lt;&gt;"",$G13="",$Q13=0),"",IF(ISNA(MATCH($G13,Rates!$B$13:$B$22,0)),"Trade is not on your Rates list: priced at the standard rate. ",IF(INDEX(Rates!$C$13:$C$22,MATCH($G13,Rates!$B$13:$B$22,0))="","No rate typed yet for this trade. ","")))&amp;IF($L13="","",IF(ISNA(MATCH($L13,Rates!$B$27:$B$32,0)),"Plant is not on your Rates list: no cost added. ",IF(INDEX(Rates!$C$27:$C$32,MATCH($L13,Rates!$B$27:$B$32,0))="","No rate typed yet for this plant. ","")))))</f>
        <v/>
      </c>
    </row>
    <row r="14">
      <c r="B14" s="35" t="inlineStr">
        <is>
          <t>33.170</t>
        </is>
      </c>
      <c r="C14" s="36" t="inlineStr">
        <is>
          <t>Aspen Close</t>
        </is>
      </c>
      <c r="D14" s="37" t="inlineStr">
        <is>
          <t>Fire hydrant with branch and valve</t>
        </is>
      </c>
      <c r="E14" s="36" t="n">
        <v>2</v>
      </c>
      <c r="F14" s="36" t="inlineStr">
        <is>
          <t>nr</t>
        </is>
      </c>
      <c r="G14" s="36" t="inlineStr">
        <is>
          <t>Pipelayer</t>
        </is>
      </c>
      <c r="H14" s="36" t="n">
        <v>8</v>
      </c>
      <c r="I14" s="38" t="n"/>
      <c r="J14" s="38" t="n">
        <v>1900</v>
      </c>
      <c r="K14" s="36" t="n">
        <v>0</v>
      </c>
      <c r="L14" s="36" t="inlineStr">
        <is>
          <t>Excavator, 30 t (360)</t>
        </is>
      </c>
      <c r="M14" s="36" t="inlineStr">
        <is>
          <t>Water main</t>
        </is>
      </c>
      <c r="N14" s="36" t="n">
        <v>3</v>
      </c>
      <c r="O14" s="36" t="n"/>
      <c r="P14" s="37" t="n"/>
      <c r="Q14" s="33">
        <f>IF($E14="","",$E14*$H14)</f>
        <v>16</v>
      </c>
      <c r="R14" s="33">
        <f>IF($E14="","",IF($I14&lt;&gt;"",$I14,IF($G14="",Rates!$C$23,IFERROR(INDEX(Rates!$C$13:$C$22,MATCH($G14,Rates!$B$13:$B$22,0)),Rates!$C$23))))</f>
        <v>29</v>
      </c>
      <c r="S14" s="33">
        <f>IF($E14="","",ROUND($Q14*$R14,2))</f>
        <v>464</v>
      </c>
      <c r="T14" s="33">
        <f>IF($E14="","",ROUND($E14*$J14*(1+$K14/100),2))</f>
        <v>3800</v>
      </c>
      <c r="U14" s="33">
        <f>IF($E14="","",ROUND(IF($N14&lt;&gt;"",$E14*$N14,$Q14)*IF($L14="",0,IFERROR(INDEX(Rates!$C$27:$C$32,MATCH($L14,Rates!$B$27:$B$32,0)),0)),2))</f>
        <v>450</v>
      </c>
      <c r="V14" s="33">
        <f>IF($E14="","",ROUND($S14+$T14+$U14,2))</f>
        <v>4714</v>
      </c>
      <c r="W14" s="33">
        <f>IF($E14="","",IF($E14=0,0,ROUND($V14/$E14,2)))</f>
        <v>2357</v>
      </c>
      <c r="X14" s="34" t="str">
        <f>IF($E14="","",TRIM(IF(OR($I14&lt;&gt;"",$G14="",$Q14=0),"",IF(ISNA(MATCH($G14,Rates!$B$13:$B$22,0)),"Trade is not on your Rates list: priced at the standard rate. ",IF(INDEX(Rates!$C$13:$C$22,MATCH($G14,Rates!$B$13:$B$22,0))="","No rate typed yet for this trade. ","")))&amp;IF($L14="","",IF(ISNA(MATCH($L14,Rates!$B$27:$B$32,0)),"Plant is not on your Rates list: no cost added. ",IF(INDEX(Rates!$C$27:$C$32,MATCH($L14,Rates!$B$27:$B$32,0))="","No rate typed yet for this plant. ","")))))</f>
        <v/>
      </c>
    </row>
    <row r="15">
      <c r="B15" s="30" t="inlineStr">
        <is>
          <t>33.120</t>
        </is>
      </c>
      <c r="C15" s="22" t="inlineStr">
        <is>
          <t>Aspen Close</t>
        </is>
      </c>
      <c r="D15" s="31" t="inlineStr">
        <is>
          <t>Twinwall surface water sewer, 375 mm</t>
        </is>
      </c>
      <c r="E15" s="22" t="n">
        <v>210</v>
      </c>
      <c r="F15" s="22" t="inlineStr">
        <is>
          <t>m</t>
        </is>
      </c>
      <c r="G15" s="22" t="inlineStr">
        <is>
          <t>Pipelayer</t>
        </is>
      </c>
      <c r="H15" s="22" t="n">
        <v>0.45</v>
      </c>
      <c r="I15" s="32" t="n"/>
      <c r="J15" s="32" t="n">
        <v>38</v>
      </c>
      <c r="K15" s="22" t="n">
        <v>3</v>
      </c>
      <c r="L15" s="22" t="inlineStr">
        <is>
          <t>Excavator, 30 t (360)</t>
        </is>
      </c>
      <c r="M15" s="22" t="inlineStr">
        <is>
          <t>Surface water sewer</t>
        </is>
      </c>
      <c r="N15" s="22" t="n">
        <v>0.15</v>
      </c>
      <c r="O15" s="22" t="n"/>
      <c r="P15" s="31" t="n"/>
      <c r="Q15" s="33">
        <f>IF($E15="","",$E15*$H15)</f>
        <v>94.5</v>
      </c>
      <c r="R15" s="33">
        <f>IF($E15="","",IF($I15&lt;&gt;"",$I15,IF($G15="",Rates!$C$23,IFERROR(INDEX(Rates!$C$13:$C$22,MATCH($G15,Rates!$B$13:$B$22,0)),Rates!$C$23))))</f>
        <v>29</v>
      </c>
      <c r="S15" s="33">
        <f>IF($E15="","",ROUND($Q15*$R15,2))</f>
        <v>2740.5</v>
      </c>
      <c r="T15" s="33">
        <f>IF($E15="","",ROUND($E15*$J15*(1+$K15/100),2))</f>
        <v>8219.4</v>
      </c>
      <c r="U15" s="33">
        <f>IF($E15="","",ROUND(IF($N15&lt;&gt;"",$E15*$N15,$Q15)*IF($L15="",0,IFERROR(INDEX(Rates!$C$27:$C$32,MATCH($L15,Rates!$B$27:$B$32,0)),0)),2))</f>
        <v>2362.5</v>
      </c>
      <c r="V15" s="33">
        <f>IF($E15="","",ROUND($S15+$T15+$U15,2))</f>
        <v>13322.4</v>
      </c>
      <c r="W15" s="33">
        <f>IF($E15="","",IF($E15=0,0,ROUND($V15/$E15,2)))</f>
        <v>63.44</v>
      </c>
      <c r="X15" s="34" t="str">
        <f>IF($E15="","",TRIM(IF(OR($I15&lt;&gt;"",$G15="",$Q15=0),"",IF(ISNA(MATCH($G15,Rates!$B$13:$B$22,0)),"Trade is not on your Rates list: priced at the standard rate. ",IF(INDEX(Rates!$C$13:$C$22,MATCH($G15,Rates!$B$13:$B$22,0))="","No rate typed yet for this trade. ","")))&amp;IF($L15="","",IF(ISNA(MATCH($L15,Rates!$B$27:$B$32,0)),"Plant is not on your Rates list: no cost added. ",IF(INDEX(Rates!$C$27:$C$32,MATCH($L15,Rates!$B$27:$B$32,0))="","No rate typed yet for this plant. ","")))))</f>
        <v/>
      </c>
    </row>
    <row r="16">
      <c r="B16" s="35" t="inlineStr">
        <is>
          <t>33.140</t>
        </is>
      </c>
      <c r="C16" s="36" t="inlineStr">
        <is>
          <t>Aspen Close</t>
        </is>
      </c>
      <c r="D16" s="37" t="inlineStr">
        <is>
          <t>Road gully, precast, with connection</t>
        </is>
      </c>
      <c r="E16" s="36" t="n">
        <v>6</v>
      </c>
      <c r="F16" s="36" t="inlineStr">
        <is>
          <t>nr</t>
        </is>
      </c>
      <c r="G16" s="36" t="inlineStr">
        <is>
          <t>Pipelayer</t>
        </is>
      </c>
      <c r="H16" s="36" t="n">
        <v>5</v>
      </c>
      <c r="I16" s="38" t="n"/>
      <c r="J16" s="38" t="n">
        <v>680</v>
      </c>
      <c r="K16" s="36" t="n">
        <v>0</v>
      </c>
      <c r="L16" s="36" t="inlineStr">
        <is>
          <t>Excavator, 30 t (360)</t>
        </is>
      </c>
      <c r="M16" s="36" t="inlineStr">
        <is>
          <t>Surface water sewer</t>
        </is>
      </c>
      <c r="N16" s="36" t="n">
        <v>2</v>
      </c>
      <c r="O16" s="36" t="n"/>
      <c r="P16" s="37" t="n"/>
      <c r="Q16" s="33">
        <f>IF($E16="","",$E16*$H16)</f>
        <v>30</v>
      </c>
      <c r="R16" s="33">
        <f>IF($E16="","",IF($I16&lt;&gt;"",$I16,IF($G16="",Rates!$C$23,IFERROR(INDEX(Rates!$C$13:$C$22,MATCH($G16,Rates!$B$13:$B$22,0)),Rates!$C$23))))</f>
        <v>29</v>
      </c>
      <c r="S16" s="33">
        <f>IF($E16="","",ROUND($Q16*$R16,2))</f>
        <v>870</v>
      </c>
      <c r="T16" s="33">
        <f>IF($E16="","",ROUND($E16*$J16*(1+$K16/100),2))</f>
        <v>4080</v>
      </c>
      <c r="U16" s="33">
        <f>IF($E16="","",ROUND(IF($N16&lt;&gt;"",$E16*$N16,$Q16)*IF($L16="",0,IFERROR(INDEX(Rates!$C$27:$C$32,MATCH($L16,Rates!$B$27:$B$32,0)),0)),2))</f>
        <v>900</v>
      </c>
      <c r="V16" s="33">
        <f>IF($E16="","",ROUND($S16+$T16+$U16,2))</f>
        <v>5850</v>
      </c>
      <c r="W16" s="33">
        <f>IF($E16="","",IF($E16=0,0,ROUND($V16/$E16,2)))</f>
        <v>975</v>
      </c>
      <c r="X16" s="34" t="str">
        <f>IF($E16="","",TRIM(IF(OR($I16&lt;&gt;"",$G16="",$Q16=0),"",IF(ISNA(MATCH($G16,Rates!$B$13:$B$22,0)),"Trade is not on your Rates list: priced at the standard rate. ",IF(INDEX(Rates!$C$13:$C$22,MATCH($G16,Rates!$B$13:$B$22,0))="","No rate typed yet for this trade. ","")))&amp;IF($L16="","",IF(ISNA(MATCH($L16,Rates!$B$27:$B$32,0)),"Plant is not on your Rates list: no cost added. ",IF(INDEX(Rates!$C$27:$C$32,MATCH($L16,Rates!$B$27:$B$32,0))="","No rate typed yet for this plant. ","")))))</f>
        <v/>
      </c>
    </row>
    <row r="17">
      <c r="B17" s="30" t="inlineStr">
        <is>
          <t>33.200</t>
        </is>
      </c>
      <c r="C17" s="22" t="inlineStr">
        <is>
          <t>Birch Road</t>
        </is>
      </c>
      <c r="D17" s="31" t="inlineStr">
        <is>
          <t>Trench excavation and backfill</t>
        </is>
      </c>
      <c r="E17" s="22" t="n">
        <v>900</v>
      </c>
      <c r="F17" s="22" t="inlineStr">
        <is>
          <t>m3</t>
        </is>
      </c>
      <c r="G17" s="22" t="inlineStr">
        <is>
          <t>Plant operator</t>
        </is>
      </c>
      <c r="H17" s="22" t="n">
        <v>0.09</v>
      </c>
      <c r="I17" s="32" t="n"/>
      <c r="J17" s="32" t="n">
        <v>0</v>
      </c>
      <c r="K17" s="22" t="n">
        <v>0</v>
      </c>
      <c r="L17" s="22" t="inlineStr">
        <is>
          <t>Excavator, 30 t (360)</t>
        </is>
      </c>
      <c r="M17" s="22" t="inlineStr">
        <is>
          <t>Trench</t>
        </is>
      </c>
      <c r="N17" s="22" t="n">
        <v>0.04</v>
      </c>
      <c r="O17" s="22" t="n"/>
      <c r="P17" s="31" t="n"/>
      <c r="Q17" s="33">
        <f>IF($E17="","",$E17*$H17)</f>
        <v>81</v>
      </c>
      <c r="R17" s="33">
        <f>IF($E17="","",IF($I17&lt;&gt;"",$I17,IF($G17="",Rates!$C$23,IFERROR(INDEX(Rates!$C$13:$C$22,MATCH($G17,Rates!$B$13:$B$22,0)),Rates!$C$23))))</f>
        <v>30</v>
      </c>
      <c r="S17" s="33">
        <f>IF($E17="","",ROUND($Q17*$R17,2))</f>
        <v>2430</v>
      </c>
      <c r="T17" s="33">
        <f>IF($E17="","",ROUND($E17*$J17*(1+$K17/100),2))</f>
        <v>0</v>
      </c>
      <c r="U17" s="33">
        <f>IF($E17="","",ROUND(IF($N17&lt;&gt;"",$E17*$N17,$Q17)*IF($L17="",0,IFERROR(INDEX(Rates!$C$27:$C$32,MATCH($L17,Rates!$B$27:$B$32,0)),0)),2))</f>
        <v>2700</v>
      </c>
      <c r="V17" s="33">
        <f>IF($E17="","",ROUND($S17+$T17+$U17,2))</f>
        <v>5130</v>
      </c>
      <c r="W17" s="33">
        <f>IF($E17="","",IF($E17=0,0,ROUND($V17/$E17,2)))</f>
        <v>5.7</v>
      </c>
      <c r="X17" s="34" t="str">
        <f>IF($E17="","",TRIM(IF(OR($I17&lt;&gt;"",$G17="",$Q17=0),"",IF(ISNA(MATCH($G17,Rates!$B$13:$B$22,0)),"Trade is not on your Rates list: priced at the standard rate. ",IF(INDEX(Rates!$C$13:$C$22,MATCH($G17,Rates!$B$13:$B$22,0))="","No rate typed yet for this trade. ","")))&amp;IF($L17="","",IF(ISNA(MATCH($L17,Rates!$B$27:$B$32,0)),"Plant is not on your Rates list: no cost added. ",IF(INDEX(Rates!$C$27:$C$32,MATCH($L17,Rates!$B$27:$B$32,0))="","No rate typed yet for this plant. ","")))))</f>
        <v/>
      </c>
    </row>
    <row r="18">
      <c r="B18" s="35" t="inlineStr">
        <is>
          <t>33.110</t>
        </is>
      </c>
      <c r="C18" s="36" t="inlineStr">
        <is>
          <t>Birch Road</t>
        </is>
      </c>
      <c r="D18" s="37" t="inlineStr">
        <is>
          <t>PVC-U foul sewer, 200 mm</t>
        </is>
      </c>
      <c r="E18" s="36" t="n">
        <v>280</v>
      </c>
      <c r="F18" s="36" t="inlineStr">
        <is>
          <t>m</t>
        </is>
      </c>
      <c r="G18" s="36" t="inlineStr">
        <is>
          <t>Pipelayer</t>
        </is>
      </c>
      <c r="H18" s="36" t="n">
        <v>0.35</v>
      </c>
      <c r="I18" s="38" t="n"/>
      <c r="J18" s="38" t="n">
        <v>22</v>
      </c>
      <c r="K18" s="36" t="n">
        <v>3</v>
      </c>
      <c r="L18" s="36" t="n"/>
      <c r="M18" s="36" t="inlineStr">
        <is>
          <t>Foul sewer</t>
        </is>
      </c>
      <c r="N18" s="36" t="n"/>
      <c r="O18" s="36" t="n"/>
      <c r="P18" s="37" t="n"/>
      <c r="Q18" s="33">
        <f>IF($E18="","",$E18*$H18)</f>
        <v>98</v>
      </c>
      <c r="R18" s="33">
        <f>IF($E18="","",IF($I18&lt;&gt;"",$I18,IF($G18="",Rates!$C$23,IFERROR(INDEX(Rates!$C$13:$C$22,MATCH($G18,Rates!$B$13:$B$22,0)),Rates!$C$23))))</f>
        <v>29</v>
      </c>
      <c r="S18" s="33">
        <f>IF($E18="","",ROUND($Q18*$R18,2))</f>
        <v>2842</v>
      </c>
      <c r="T18" s="33">
        <f>IF($E18="","",ROUND($E18*$J18*(1+$K18/100),2))</f>
        <v>6344.8</v>
      </c>
      <c r="U18" s="33">
        <f>IF($E18="","",ROUND(IF($N18&lt;&gt;"",$E18*$N18,$Q18)*IF($L18="",0,IFERROR(INDEX(Rates!$C$27:$C$32,MATCH($L18,Rates!$B$27:$B$32,0)),0)),2))</f>
        <v>0</v>
      </c>
      <c r="V18" s="33">
        <f>IF($E18="","",ROUND($S18+$T18+$U18,2))</f>
        <v>9186.8</v>
      </c>
      <c r="W18" s="33">
        <f>IF($E18="","",IF($E18=0,0,ROUND($V18/$E18,2)))</f>
        <v>32.81</v>
      </c>
      <c r="X18" s="34" t="str">
        <f>IF($E18="","",TRIM(IF(OR($I18&lt;&gt;"",$G18="",$Q18=0),"",IF(ISNA(MATCH($G18,Rates!$B$13:$B$22,0)),"Trade is not on your Rates list: priced at the standard rate. ",IF(INDEX(Rates!$C$13:$C$22,MATCH($G18,Rates!$B$13:$B$22,0))="","No rate typed yet for this trade. ","")))&amp;IF($L18="","",IF(ISNA(MATCH($L18,Rates!$B$27:$B$32,0)),"Plant is not on your Rates list: no cost added. ",IF(INDEX(Rates!$C$27:$C$32,MATCH($L18,Rates!$B$27:$B$32,0))="","No rate typed yet for this plant. ","")))))</f>
        <v/>
      </c>
    </row>
    <row r="19">
      <c r="B19" s="30" t="inlineStr">
        <is>
          <t>33.100</t>
        </is>
      </c>
      <c r="C19" s="22" t="inlineStr">
        <is>
          <t>Birch Road</t>
        </is>
      </c>
      <c r="D19" s="31" t="inlineStr">
        <is>
          <t>PE water main, 150 mm</t>
        </is>
      </c>
      <c r="E19" s="22" t="n">
        <v>270</v>
      </c>
      <c r="F19" s="22" t="inlineStr">
        <is>
          <t>m</t>
        </is>
      </c>
      <c r="G19" s="22" t="inlineStr">
        <is>
          <t>Pipelayer</t>
        </is>
      </c>
      <c r="H19" s="22" t="n">
        <v>0.3</v>
      </c>
      <c r="I19" s="32" t="n"/>
      <c r="J19" s="32" t="n">
        <v>26</v>
      </c>
      <c r="K19" s="22" t="n">
        <v>3</v>
      </c>
      <c r="L19" s="22" t="n"/>
      <c r="M19" s="22" t="inlineStr">
        <is>
          <t>Water main</t>
        </is>
      </c>
      <c r="N19" s="22" t="n"/>
      <c r="O19" s="22" t="n"/>
      <c r="P19" s="31" t="n"/>
      <c r="Q19" s="33">
        <f>IF($E19="","",$E19*$H19)</f>
        <v>81</v>
      </c>
      <c r="R19" s="33">
        <f>IF($E19="","",IF($I19&lt;&gt;"",$I19,IF($G19="",Rates!$C$23,IFERROR(INDEX(Rates!$C$13:$C$22,MATCH($G19,Rates!$B$13:$B$22,0)),Rates!$C$23))))</f>
        <v>29</v>
      </c>
      <c r="S19" s="33">
        <f>IF($E19="","",ROUND($Q19*$R19,2))</f>
        <v>2349</v>
      </c>
      <c r="T19" s="33">
        <f>IF($E19="","",ROUND($E19*$J19*(1+$K19/100),2))</f>
        <v>7230.6</v>
      </c>
      <c r="U19" s="33">
        <f>IF($E19="","",ROUND(IF($N19&lt;&gt;"",$E19*$N19,$Q19)*IF($L19="",0,IFERROR(INDEX(Rates!$C$27:$C$32,MATCH($L19,Rates!$B$27:$B$32,0)),0)),2))</f>
        <v>0</v>
      </c>
      <c r="V19" s="33">
        <f>IF($E19="","",ROUND($S19+$T19+$U19,2))</f>
        <v>9579.6</v>
      </c>
      <c r="W19" s="33">
        <f>IF($E19="","",IF($E19=0,0,ROUND($V19/$E19,2)))</f>
        <v>35.48</v>
      </c>
      <c r="X19" s="34" t="str">
        <f>IF($E19="","",TRIM(IF(OR($I19&lt;&gt;"",$G19="",$Q19=0),"",IF(ISNA(MATCH($G19,Rates!$B$13:$B$22,0)),"Trade is not on your Rates list: priced at the standard rate. ",IF(INDEX(Rates!$C$13:$C$22,MATCH($G19,Rates!$B$13:$B$22,0))="","No rate typed yet for this trade. ","")))&amp;IF($L19="","",IF(ISNA(MATCH($L19,Rates!$B$27:$B$32,0)),"Plant is not on your Rates list: no cost added. ",IF(INDEX(Rates!$C$27:$C$32,MATCH($L19,Rates!$B$27:$B$32,0))="","No rate typed yet for this plant. ","")))))</f>
        <v/>
      </c>
    </row>
    <row r="20">
      <c r="B20" s="35" t="inlineStr">
        <is>
          <t>33.130</t>
        </is>
      </c>
      <c r="C20" s="36" t="inlineStr">
        <is>
          <t>Birch Road</t>
        </is>
      </c>
      <c r="D20" s="37" t="inlineStr">
        <is>
          <t>Precast concrete manholes, 1200 mm rings</t>
        </is>
      </c>
      <c r="E20" s="36" t="n">
        <v>4</v>
      </c>
      <c r="F20" s="36" t="inlineStr">
        <is>
          <t>nr</t>
        </is>
      </c>
      <c r="G20" s="36" t="inlineStr">
        <is>
          <t>Pipelayer</t>
        </is>
      </c>
      <c r="H20" s="36" t="n">
        <v>10</v>
      </c>
      <c r="I20" s="38" t="n"/>
      <c r="J20" s="38" t="n">
        <v>2400</v>
      </c>
      <c r="K20" s="36" t="n">
        <v>0</v>
      </c>
      <c r="L20" s="36" t="inlineStr">
        <is>
          <t>Excavator, 30 t (360)</t>
        </is>
      </c>
      <c r="M20" s="36" t="inlineStr">
        <is>
          <t>Foul sewer</t>
        </is>
      </c>
      <c r="N20" s="36" t="n">
        <v>3</v>
      </c>
      <c r="O20" s="36" t="n"/>
      <c r="P20" s="37" t="n"/>
      <c r="Q20" s="33">
        <f>IF($E20="","",$E20*$H20)</f>
        <v>40</v>
      </c>
      <c r="R20" s="33">
        <f>IF($E20="","",IF($I20&lt;&gt;"",$I20,IF($G20="",Rates!$C$23,IFERROR(INDEX(Rates!$C$13:$C$22,MATCH($G20,Rates!$B$13:$B$22,0)),Rates!$C$23))))</f>
        <v>29</v>
      </c>
      <c r="S20" s="33">
        <f>IF($E20="","",ROUND($Q20*$R20,2))</f>
        <v>1160</v>
      </c>
      <c r="T20" s="33">
        <f>IF($E20="","",ROUND($E20*$J20*(1+$K20/100),2))</f>
        <v>9600</v>
      </c>
      <c r="U20" s="33">
        <f>IF($E20="","",ROUND(IF($N20&lt;&gt;"",$E20*$N20,$Q20)*IF($L20="",0,IFERROR(INDEX(Rates!$C$27:$C$32,MATCH($L20,Rates!$B$27:$B$32,0)),0)),2))</f>
        <v>900</v>
      </c>
      <c r="V20" s="33">
        <f>IF($E20="","",ROUND($S20+$T20+$U20,2))</f>
        <v>11660</v>
      </c>
      <c r="W20" s="33">
        <f>IF($E20="","",IF($E20=0,0,ROUND($V20/$E20,2)))</f>
        <v>2915</v>
      </c>
      <c r="X20" s="34" t="str">
        <f>IF($E20="","",TRIM(IF(OR($I20&lt;&gt;"",$G20="",$Q20=0),"",IF(ISNA(MATCH($G20,Rates!$B$13:$B$22,0)),"Trade is not on your Rates list: priced at the standard rate. ",IF(INDEX(Rates!$C$13:$C$22,MATCH($G20,Rates!$B$13:$B$22,0))="","No rate typed yet for this trade. ","")))&amp;IF($L20="","",IF(ISNA(MATCH($L20,Rates!$B$27:$B$32,0)),"Plant is not on your Rates list: no cost added. ",IF(INDEX(Rates!$C$27:$C$32,MATCH($L20,Rates!$B$27:$B$32,0))="","No rate typed yet for this plant. ","")))))</f>
        <v/>
      </c>
    </row>
    <row r="21">
      <c r="B21" s="30" t="inlineStr">
        <is>
          <t>33.190</t>
        </is>
      </c>
      <c r="C21" s="22" t="inlineStr">
        <is>
          <t>Birch Road</t>
        </is>
      </c>
      <c r="D21" s="31" t="inlineStr">
        <is>
          <t>Pipe bedding and surround, 20 mm gravel</t>
        </is>
      </c>
      <c r="E21" s="22" t="n">
        <v>210</v>
      </c>
      <c r="F21" s="22" t="inlineStr">
        <is>
          <t>m3</t>
        </is>
      </c>
      <c r="G21" s="22" t="inlineStr">
        <is>
          <t>Groundworker</t>
        </is>
      </c>
      <c r="H21" s="22" t="n">
        <v>0.1</v>
      </c>
      <c r="I21" s="32" t="n"/>
      <c r="J21" s="32" t="n">
        <v>42</v>
      </c>
      <c r="K21" s="22" t="n">
        <v>10</v>
      </c>
      <c r="L21" s="22" t="n"/>
      <c r="M21" s="22" t="inlineStr">
        <is>
          <t>Trench</t>
        </is>
      </c>
      <c r="N21" s="22" t="n"/>
      <c r="O21" s="22" t="n"/>
      <c r="P21" s="31" t="n"/>
      <c r="Q21" s="33">
        <f>IF($E21="","",$E21*$H21)</f>
        <v>21</v>
      </c>
      <c r="R21" s="33">
        <f>IF($E21="","",IF($I21&lt;&gt;"",$I21,IF($G21="",Rates!$C$23,IFERROR(INDEX(Rates!$C$13:$C$22,MATCH($G21,Rates!$B$13:$B$22,0)),Rates!$C$23))))</f>
        <v>28</v>
      </c>
      <c r="S21" s="33">
        <f>IF($E21="","",ROUND($Q21*$R21,2))</f>
        <v>588</v>
      </c>
      <c r="T21" s="33">
        <f>IF($E21="","",ROUND($E21*$J21*(1+$K21/100),2))</f>
        <v>9702</v>
      </c>
      <c r="U21" s="33">
        <f>IF($E21="","",ROUND(IF($N21&lt;&gt;"",$E21*$N21,$Q21)*IF($L21="",0,IFERROR(INDEX(Rates!$C$27:$C$32,MATCH($L21,Rates!$B$27:$B$32,0)),0)),2))</f>
        <v>0</v>
      </c>
      <c r="V21" s="33">
        <f>IF($E21="","",ROUND($S21+$T21+$U21,2))</f>
        <v>10290</v>
      </c>
      <c r="W21" s="33">
        <f>IF($E21="","",IF($E21=0,0,ROUND($V21/$E21,2)))</f>
        <v>49</v>
      </c>
      <c r="X21" s="34" t="str">
        <f>IF($E21="","",TRIM(IF(OR($I21&lt;&gt;"",$G21="",$Q21=0),"",IF(ISNA(MATCH($G21,Rates!$B$13:$B$22,0)),"Trade is not on your Rates list: priced at the standard rate. ",IF(INDEX(Rates!$C$13:$C$22,MATCH($G21,Rates!$B$13:$B$22,0))="","No rate typed yet for this trade. ","")))&amp;IF($L21="","",IF(ISNA(MATCH($L21,Rates!$B$27:$B$32,0)),"Plant is not on your Rates list: no cost added. ",IF(INDEX(Rates!$C$27:$C$32,MATCH($L21,Rates!$B$27:$B$32,0))="","No rate typed yet for this plant. ","")))))</f>
        <v/>
      </c>
    </row>
    <row r="22">
      <c r="B22" s="35" t="inlineStr">
        <is>
          <t>33.170</t>
        </is>
      </c>
      <c r="C22" s="36" t="inlineStr">
        <is>
          <t>Birch Road</t>
        </is>
      </c>
      <c r="D22" s="37" t="inlineStr">
        <is>
          <t>Sluice valve and surface box, 150 mm</t>
        </is>
      </c>
      <c r="E22" s="36" t="n">
        <v>3</v>
      </c>
      <c r="F22" s="36" t="inlineStr">
        <is>
          <t>nr</t>
        </is>
      </c>
      <c r="G22" s="36" t="inlineStr">
        <is>
          <t>Pipelayer</t>
        </is>
      </c>
      <c r="H22" s="36" t="n">
        <v>3</v>
      </c>
      <c r="I22" s="38" t="n"/>
      <c r="J22" s="38" t="n">
        <v>620</v>
      </c>
      <c r="K22" s="36" t="n">
        <v>0</v>
      </c>
      <c r="L22" s="36" t="inlineStr">
        <is>
          <t>Excavator, 30 t (360)</t>
        </is>
      </c>
      <c r="M22" s="36" t="inlineStr">
        <is>
          <t>Water main</t>
        </is>
      </c>
      <c r="N22" s="36" t="n">
        <v>1</v>
      </c>
      <c r="O22" s="36" t="n"/>
      <c r="P22" s="37" t="n"/>
      <c r="Q22" s="33">
        <f>IF($E22="","",$E22*$H22)</f>
        <v>9</v>
      </c>
      <c r="R22" s="33">
        <f>IF($E22="","",IF($I22&lt;&gt;"",$I22,IF($G22="",Rates!$C$23,IFERROR(INDEX(Rates!$C$13:$C$22,MATCH($G22,Rates!$B$13:$B$22,0)),Rates!$C$23))))</f>
        <v>29</v>
      </c>
      <c r="S22" s="33">
        <f>IF($E22="","",ROUND($Q22*$R22,2))</f>
        <v>261</v>
      </c>
      <c r="T22" s="33">
        <f>IF($E22="","",ROUND($E22*$J22*(1+$K22/100),2))</f>
        <v>1860</v>
      </c>
      <c r="U22" s="33">
        <f>IF($E22="","",ROUND(IF($N22&lt;&gt;"",$E22*$N22,$Q22)*IF($L22="",0,IFERROR(INDEX(Rates!$C$27:$C$32,MATCH($L22,Rates!$B$27:$B$32,0)),0)),2))</f>
        <v>225</v>
      </c>
      <c r="V22" s="33">
        <f>IF($E22="","",ROUND($S22+$T22+$U22,2))</f>
        <v>2346</v>
      </c>
      <c r="W22" s="33">
        <f>IF($E22="","",IF($E22=0,0,ROUND($V22/$E22,2)))</f>
        <v>782</v>
      </c>
      <c r="X22" s="34" t="str">
        <f>IF($E22="","",TRIM(IF(OR($I22&lt;&gt;"",$G22="",$Q22=0),"",IF(ISNA(MATCH($G22,Rates!$B$13:$B$22,0)),"Trade is not on your Rates list: priced at the standard rate. ",IF(INDEX(Rates!$C$13:$C$22,MATCH($G22,Rates!$B$13:$B$22,0))="","No rate typed yet for this trade. ","")))&amp;IF($L22="","",IF(ISNA(MATCH($L22,Rates!$B$27:$B$32,0)),"Plant is not on your Rates list: no cost added. ",IF(INDEX(Rates!$C$27:$C$32,MATCH($L22,Rates!$B$27:$B$32,0))="","No rate typed yet for this plant. ","")))))</f>
        <v/>
      </c>
    </row>
    <row r="23">
      <c r="B23" s="30" t="inlineStr">
        <is>
          <t>33.170</t>
        </is>
      </c>
      <c r="C23" s="22" t="inlineStr">
        <is>
          <t>Birch Road</t>
        </is>
      </c>
      <c r="D23" s="31" t="inlineStr">
        <is>
          <t>Fire hydrant with branch and valve</t>
        </is>
      </c>
      <c r="E23" s="22" t="n">
        <v>1</v>
      </c>
      <c r="F23" s="22" t="inlineStr">
        <is>
          <t>nr</t>
        </is>
      </c>
      <c r="G23" s="22" t="inlineStr">
        <is>
          <t>Pipelayer</t>
        </is>
      </c>
      <c r="H23" s="22" t="n">
        <v>8</v>
      </c>
      <c r="I23" s="32" t="n"/>
      <c r="J23" s="32" t="n">
        <v>1900</v>
      </c>
      <c r="K23" s="22" t="n">
        <v>0</v>
      </c>
      <c r="L23" s="22" t="inlineStr">
        <is>
          <t>Excavator, 30 t (360)</t>
        </is>
      </c>
      <c r="M23" s="22" t="inlineStr">
        <is>
          <t>Water main</t>
        </is>
      </c>
      <c r="N23" s="22" t="n">
        <v>3</v>
      </c>
      <c r="O23" s="22" t="n"/>
      <c r="P23" s="31" t="n"/>
      <c r="Q23" s="33">
        <f>IF($E23="","",$E23*$H23)</f>
        <v>8</v>
      </c>
      <c r="R23" s="33">
        <f>IF($E23="","",IF($I23&lt;&gt;"",$I23,IF($G23="",Rates!$C$23,IFERROR(INDEX(Rates!$C$13:$C$22,MATCH($G23,Rates!$B$13:$B$22,0)),Rates!$C$23))))</f>
        <v>29</v>
      </c>
      <c r="S23" s="33">
        <f>IF($E23="","",ROUND($Q23*$R23,2))</f>
        <v>232</v>
      </c>
      <c r="T23" s="33">
        <f>IF($E23="","",ROUND($E23*$J23*(1+$K23/100),2))</f>
        <v>1900</v>
      </c>
      <c r="U23" s="33">
        <f>IF($E23="","",ROUND(IF($N23&lt;&gt;"",$E23*$N23,$Q23)*IF($L23="",0,IFERROR(INDEX(Rates!$C$27:$C$32,MATCH($L23,Rates!$B$27:$B$32,0)),0)),2))</f>
        <v>225</v>
      </c>
      <c r="V23" s="33">
        <f>IF($E23="","",ROUND($S23+$T23+$U23,2))</f>
        <v>2357</v>
      </c>
      <c r="W23" s="33">
        <f>IF($E23="","",IF($E23=0,0,ROUND($V23/$E23,2)))</f>
        <v>2357</v>
      </c>
      <c r="X23" s="34" t="str">
        <f>IF($E23="","",TRIM(IF(OR($I23&lt;&gt;"",$G23="",$Q23=0),"",IF(ISNA(MATCH($G23,Rates!$B$13:$B$22,0)),"Trade is not on your Rates list: priced at the standard rate. ",IF(INDEX(Rates!$C$13:$C$22,MATCH($G23,Rates!$B$13:$B$22,0))="","No rate typed yet for this trade. ","")))&amp;IF($L23="","",IF(ISNA(MATCH($L23,Rates!$B$27:$B$32,0)),"Plant is not on your Rates list: no cost added. ",IF(INDEX(Rates!$C$27:$C$32,MATCH($L23,Rates!$B$27:$B$32,0))="","No rate typed yet for this plant. ","")))))</f>
        <v/>
      </c>
    </row>
    <row r="24">
      <c r="B24" s="35" t="inlineStr">
        <is>
          <t>33.120</t>
        </is>
      </c>
      <c r="C24" s="36" t="inlineStr">
        <is>
          <t>Birch Road</t>
        </is>
      </c>
      <c r="D24" s="37" t="inlineStr">
        <is>
          <t>Twinwall surface water sewer, 375 mm</t>
        </is>
      </c>
      <c r="E24" s="36" t="n">
        <v>160</v>
      </c>
      <c r="F24" s="36" t="inlineStr">
        <is>
          <t>m</t>
        </is>
      </c>
      <c r="G24" s="36" t="inlineStr">
        <is>
          <t>Pipelayer</t>
        </is>
      </c>
      <c r="H24" s="36" t="n">
        <v>0.45</v>
      </c>
      <c r="I24" s="38" t="n"/>
      <c r="J24" s="38" t="n">
        <v>38</v>
      </c>
      <c r="K24" s="36" t="n">
        <v>3</v>
      </c>
      <c r="L24" s="36" t="inlineStr">
        <is>
          <t>Excavator, 30 t (360)</t>
        </is>
      </c>
      <c r="M24" s="36" t="inlineStr">
        <is>
          <t>Surface water sewer</t>
        </is>
      </c>
      <c r="N24" s="36" t="n">
        <v>0.15</v>
      </c>
      <c r="O24" s="36" t="n"/>
      <c r="P24" s="37" t="n"/>
      <c r="Q24" s="33">
        <f>IF($E24="","",$E24*$H24)</f>
        <v>72</v>
      </c>
      <c r="R24" s="33">
        <f>IF($E24="","",IF($I24&lt;&gt;"",$I24,IF($G24="",Rates!$C$23,IFERROR(INDEX(Rates!$C$13:$C$22,MATCH($G24,Rates!$B$13:$B$22,0)),Rates!$C$23))))</f>
        <v>29</v>
      </c>
      <c r="S24" s="33">
        <f>IF($E24="","",ROUND($Q24*$R24,2))</f>
        <v>2088</v>
      </c>
      <c r="T24" s="33">
        <f>IF($E24="","",ROUND($E24*$J24*(1+$K24/100),2))</f>
        <v>6262.4</v>
      </c>
      <c r="U24" s="33">
        <f>IF($E24="","",ROUND(IF($N24&lt;&gt;"",$E24*$N24,$Q24)*IF($L24="",0,IFERROR(INDEX(Rates!$C$27:$C$32,MATCH($L24,Rates!$B$27:$B$32,0)),0)),2))</f>
        <v>1800</v>
      </c>
      <c r="V24" s="33">
        <f>IF($E24="","",ROUND($S24+$T24+$U24,2))</f>
        <v>10150.4</v>
      </c>
      <c r="W24" s="33">
        <f>IF($E24="","",IF($E24=0,0,ROUND($V24/$E24,2)))</f>
        <v>63.44</v>
      </c>
      <c r="X24" s="34" t="str">
        <f>IF($E24="","",TRIM(IF(OR($I24&lt;&gt;"",$G24="",$Q24=0),"",IF(ISNA(MATCH($G24,Rates!$B$13:$B$22,0)),"Trade is not on your Rates list: priced at the standard rate. ",IF(INDEX(Rates!$C$13:$C$22,MATCH($G24,Rates!$B$13:$B$22,0))="","No rate typed yet for this trade. ","")))&amp;IF($L24="","",IF(ISNA(MATCH($L24,Rates!$B$27:$B$32,0)),"Plant is not on your Rates list: no cost added. ",IF(INDEX(Rates!$C$27:$C$32,MATCH($L24,Rates!$B$27:$B$32,0))="","No rate typed yet for this plant. ","")))))</f>
        <v/>
      </c>
    </row>
    <row r="25" ht="29" customHeight="1">
      <c r="B25" s="30" t="inlineStr">
        <is>
          <t>33.270</t>
        </is>
      </c>
      <c r="C25" s="22" t="inlineStr">
        <is>
          <t>Tie-ins</t>
        </is>
      </c>
      <c r="D25" s="31" t="inlineStr">
        <is>
          <t>Under-pressure connection to existing main, night working</t>
        </is>
      </c>
      <c r="E25" s="22" t="n">
        <v>1</v>
      </c>
      <c r="F25" s="22" t="inlineStr">
        <is>
          <t>nr</t>
        </is>
      </c>
      <c r="G25" s="22" t="inlineStr">
        <is>
          <t>Pipe gang foreman</t>
        </is>
      </c>
      <c r="H25" s="22" t="n">
        <v>10</v>
      </c>
      <c r="I25" s="32" t="n">
        <v>54</v>
      </c>
      <c r="J25" s="32" t="n">
        <v>1600</v>
      </c>
      <c r="K25" s="22" t="n">
        <v>0</v>
      </c>
      <c r="L25" s="22" t="inlineStr">
        <is>
          <t>Excavator, 30 t (360)</t>
        </is>
      </c>
      <c r="M25" s="22" t="inlineStr">
        <is>
          <t>Water main</t>
        </is>
      </c>
      <c r="N25" s="22" t="n">
        <v>4</v>
      </c>
      <c r="O25" s="22" t="n"/>
      <c r="P25" s="31" t="n"/>
      <c r="Q25" s="33">
        <f>IF($E25="","",$E25*$H25)</f>
        <v>10</v>
      </c>
      <c r="R25" s="33">
        <f>IF($E25="","",IF($I25&lt;&gt;"",$I25,IF($G25="",Rates!$C$23,IFERROR(INDEX(Rates!$C$13:$C$22,MATCH($G25,Rates!$B$13:$B$22,0)),Rates!$C$23))))</f>
        <v>54</v>
      </c>
      <c r="S25" s="33">
        <f>IF($E25="","",ROUND($Q25*$R25,2))</f>
        <v>540</v>
      </c>
      <c r="T25" s="33">
        <f>IF($E25="","",ROUND($E25*$J25*(1+$K25/100),2))</f>
        <v>1600</v>
      </c>
      <c r="U25" s="33">
        <f>IF($E25="","",ROUND(IF($N25&lt;&gt;"",$E25*$N25,$Q25)*IF($L25="",0,IFERROR(INDEX(Rates!$C$27:$C$32,MATCH($L25,Rates!$B$27:$B$32,0)),0)),2))</f>
        <v>300</v>
      </c>
      <c r="V25" s="33">
        <f>IF($E25="","",ROUND($S25+$T25+$U25,2))</f>
        <v>2440</v>
      </c>
      <c r="W25" s="33">
        <f>IF($E25="","",IF($E25=0,0,ROUND($V25/$E25,2)))</f>
        <v>2440</v>
      </c>
      <c r="X25" s="34" t="str">
        <f>IF($E25="","",TRIM(IF(OR($I25&lt;&gt;"",$G25="",$Q25=0),"",IF(ISNA(MATCH($G25,Rates!$B$13:$B$22,0)),"Trade is not on your Rates list: priced at the standard rate. ",IF(INDEX(Rates!$C$13:$C$22,MATCH($G25,Rates!$B$13:$B$22,0))="","No rate typed yet for this trade. ","")))&amp;IF($L25="","",IF(ISNA(MATCH($L25,Rates!$B$27:$B$32,0)),"Plant is not on your Rates list: no cost added. ",IF(INDEX(Rates!$C$27:$C$32,MATCH($L25,Rates!$B$27:$B$32,0))="","No rate typed yet for this plant. ","")))))</f>
        <v/>
      </c>
    </row>
    <row r="26">
      <c r="B26" s="35" t="inlineStr">
        <is>
          <t>33.160</t>
        </is>
      </c>
      <c r="C26" s="36" t="inlineStr">
        <is>
          <t>Tie-ins</t>
        </is>
      </c>
      <c r="D26" s="37" t="inlineStr">
        <is>
          <t>Connect to existing foul manhole</t>
        </is>
      </c>
      <c r="E26" s="36" t="n">
        <v>1</v>
      </c>
      <c r="F26" s="36" t="inlineStr">
        <is>
          <t>nr</t>
        </is>
      </c>
      <c r="G26" s="36" t="inlineStr">
        <is>
          <t>Pipelayer</t>
        </is>
      </c>
      <c r="H26" s="36" t="n">
        <v>12</v>
      </c>
      <c r="I26" s="38" t="n"/>
      <c r="J26" s="38" t="n">
        <v>358</v>
      </c>
      <c r="K26" s="36" t="n">
        <v>0</v>
      </c>
      <c r="L26" s="36" t="inlineStr">
        <is>
          <t>Excavator, 30 t (360)</t>
        </is>
      </c>
      <c r="M26" s="36" t="inlineStr">
        <is>
          <t>Foul sewer</t>
        </is>
      </c>
      <c r="N26" s="36" t="n">
        <v>4</v>
      </c>
      <c r="O26" s="36" t="n"/>
      <c r="P26" s="37" t="n"/>
      <c r="Q26" s="33">
        <f>IF($E26="","",$E26*$H26)</f>
        <v>12</v>
      </c>
      <c r="R26" s="33">
        <f>IF($E26="","",IF($I26&lt;&gt;"",$I26,IF($G26="",Rates!$C$23,IFERROR(INDEX(Rates!$C$13:$C$22,MATCH($G26,Rates!$B$13:$B$22,0)),Rates!$C$23))))</f>
        <v>29</v>
      </c>
      <c r="S26" s="33">
        <f>IF($E26="","",ROUND($Q26*$R26,2))</f>
        <v>348</v>
      </c>
      <c r="T26" s="33">
        <f>IF($E26="","",ROUND($E26*$J26*(1+$K26/100),2))</f>
        <v>358</v>
      </c>
      <c r="U26" s="33">
        <f>IF($E26="","",ROUND(IF($N26&lt;&gt;"",$E26*$N26,$Q26)*IF($L26="",0,IFERROR(INDEX(Rates!$C$27:$C$32,MATCH($L26,Rates!$B$27:$B$32,0)),0)),2))</f>
        <v>300</v>
      </c>
      <c r="V26" s="33">
        <f>IF($E26="","",ROUND($S26+$T26+$U26,2))</f>
        <v>1006</v>
      </c>
      <c r="W26" s="33">
        <f>IF($E26="","",IF($E26=0,0,ROUND($V26/$E26,2)))</f>
        <v>1006</v>
      </c>
      <c r="X26" s="34" t="str">
        <f>IF($E26="","",TRIM(IF(OR($I26&lt;&gt;"",$G26="",$Q26=0),"",IF(ISNA(MATCH($G26,Rates!$B$13:$B$22,0)),"Trade is not on your Rates list: priced at the standard rate. ",IF(INDEX(Rates!$C$13:$C$22,MATCH($G26,Rates!$B$13:$B$22,0))="","No rate typed yet for this trade. ","")))&amp;IF($L26="","",IF(ISNA(MATCH($L26,Rates!$B$27:$B$32,0)),"Plant is not on your Rates list: no cost added. ",IF(INDEX(Rates!$C$27:$C$32,MATCH($L26,Rates!$B$27:$B$32,0))="","No rate typed yet for this plant. ","")))))</f>
        <v/>
      </c>
    </row>
    <row r="27">
      <c r="B27" s="30" t="inlineStr">
        <is>
          <t>33.160</t>
        </is>
      </c>
      <c r="C27" s="22" t="inlineStr">
        <is>
          <t>Tie-ins</t>
        </is>
      </c>
      <c r="D27" s="31" t="inlineStr">
        <is>
          <t>Connect to existing surface water manhole</t>
        </is>
      </c>
      <c r="E27" s="22" t="n">
        <v>1</v>
      </c>
      <c r="F27" s="22" t="inlineStr">
        <is>
          <t>nr</t>
        </is>
      </c>
      <c r="G27" s="22" t="inlineStr">
        <is>
          <t>Pipelayer</t>
        </is>
      </c>
      <c r="H27" s="22" t="n">
        <v>10</v>
      </c>
      <c r="I27" s="32" t="n"/>
      <c r="J27" s="32" t="n">
        <v>303</v>
      </c>
      <c r="K27" s="22" t="n">
        <v>0</v>
      </c>
      <c r="L27" s="22" t="inlineStr">
        <is>
          <t>Excavator, 30 t (360)</t>
        </is>
      </c>
      <c r="M27" s="22" t="inlineStr">
        <is>
          <t>Surface water sewer</t>
        </is>
      </c>
      <c r="N27" s="22" t="n">
        <v>3</v>
      </c>
      <c r="O27" s="22" t="n"/>
      <c r="P27" s="31" t="n"/>
      <c r="Q27" s="33">
        <f>IF($E27="","",$E27*$H27)</f>
        <v>10</v>
      </c>
      <c r="R27" s="33">
        <f>IF($E27="","",IF($I27&lt;&gt;"",$I27,IF($G27="",Rates!$C$23,IFERROR(INDEX(Rates!$C$13:$C$22,MATCH($G27,Rates!$B$13:$B$22,0)),Rates!$C$23))))</f>
        <v>29</v>
      </c>
      <c r="S27" s="33">
        <f>IF($E27="","",ROUND($Q27*$R27,2))</f>
        <v>290</v>
      </c>
      <c r="T27" s="33">
        <f>IF($E27="","",ROUND($E27*$J27*(1+$K27/100),2))</f>
        <v>303</v>
      </c>
      <c r="U27" s="33">
        <f>IF($E27="","",ROUND(IF($N27&lt;&gt;"",$E27*$N27,$Q27)*IF($L27="",0,IFERROR(INDEX(Rates!$C$27:$C$32,MATCH($L27,Rates!$B$27:$B$32,0)),0)),2))</f>
        <v>225</v>
      </c>
      <c r="V27" s="33">
        <f>IF($E27="","",ROUND($S27+$T27+$U27,2))</f>
        <v>818</v>
      </c>
      <c r="W27" s="33">
        <f>IF($E27="","",IF($E27=0,0,ROUND($V27/$E27,2)))</f>
        <v>818</v>
      </c>
      <c r="X27" s="34" t="str">
        <f>IF($E27="","",TRIM(IF(OR($I27&lt;&gt;"",$G27="",$Q27=0),"",IF(ISNA(MATCH($G27,Rates!$B$13:$B$22,0)),"Trade is not on your Rates list: priced at the standard rate. ",IF(INDEX(Rates!$C$13:$C$22,MATCH($G27,Rates!$B$13:$B$22,0))="","No rate typed yet for this trade. ","")))&amp;IF($L27="","",IF(ISNA(MATCH($L27,Rates!$B$27:$B$32,0)),"Plant is not on your Rates list: no cost added. ",IF(INDEX(Rates!$C$27:$C$32,MATCH($L27,Rates!$B$27:$B$32,0))="","No rate typed yet for this plant. ","")))))</f>
        <v/>
      </c>
    </row>
    <row r="28">
      <c r="B28" s="35" t="inlineStr">
        <is>
          <t>33.220</t>
        </is>
      </c>
      <c r="C28" s="36" t="inlineStr">
        <is>
          <t>Tie-ins</t>
        </is>
      </c>
      <c r="D28" s="37" t="inlineStr">
        <is>
          <t>Concrete thrust blocks at bends and tees</t>
        </is>
      </c>
      <c r="E28" s="36" t="n">
        <v>14</v>
      </c>
      <c r="F28" s="36" t="inlineStr">
        <is>
          <t>nr</t>
        </is>
      </c>
      <c r="G28" s="36" t="inlineStr">
        <is>
          <t>Groundworker</t>
        </is>
      </c>
      <c r="H28" s="36" t="n">
        <v>1.5</v>
      </c>
      <c r="I28" s="38" t="n"/>
      <c r="J28" s="38" t="n">
        <v>52.3</v>
      </c>
      <c r="K28" s="36" t="n">
        <v>0</v>
      </c>
      <c r="L28" s="36" t="n"/>
      <c r="M28" s="36" t="inlineStr">
        <is>
          <t>Water main</t>
        </is>
      </c>
      <c r="N28" s="36" t="n"/>
      <c r="O28" s="36" t="n"/>
      <c r="P28" s="37" t="n"/>
      <c r="Q28" s="33">
        <f>IF($E28="","",$E28*$H28)</f>
        <v>21</v>
      </c>
      <c r="R28" s="33">
        <f>IF($E28="","",IF($I28&lt;&gt;"",$I28,IF($G28="",Rates!$C$23,IFERROR(INDEX(Rates!$C$13:$C$22,MATCH($G28,Rates!$B$13:$B$22,0)),Rates!$C$23))))</f>
        <v>28</v>
      </c>
      <c r="S28" s="33">
        <f>IF($E28="","",ROUND($Q28*$R28,2))</f>
        <v>588</v>
      </c>
      <c r="T28" s="33">
        <f>IF($E28="","",ROUND($E28*$J28*(1+$K28/100),2))</f>
        <v>732.2</v>
      </c>
      <c r="U28" s="33">
        <f>IF($E28="","",ROUND(IF($N28&lt;&gt;"",$E28*$N28,$Q28)*IF($L28="",0,IFERROR(INDEX(Rates!$C$27:$C$32,MATCH($L28,Rates!$B$27:$B$32,0)),0)),2))</f>
        <v>0</v>
      </c>
      <c r="V28" s="33">
        <f>IF($E28="","",ROUND($S28+$T28+$U28,2))</f>
        <v>1320.2</v>
      </c>
      <c r="W28" s="33">
        <f>IF($E28="","",IF($E28=0,0,ROUND($V28/$E28,2)))</f>
        <v>94.3</v>
      </c>
      <c r="X28" s="34" t="str">
        <f>IF($E28="","",TRIM(IF(OR($I28&lt;&gt;"",$G28="",$Q28=0),"",IF(ISNA(MATCH($G28,Rates!$B$13:$B$22,0)),"Trade is not on your Rates list: priced at the standard rate. ",IF(INDEX(Rates!$C$13:$C$22,MATCH($G28,Rates!$B$13:$B$22,0))="","No rate typed yet for this trade. ","")))&amp;IF($L28="","",IF(ISNA(MATCH($L28,Rates!$B$27:$B$32,0)),"Plant is not on your Rates list: no cost added. ",IF(INDEX(Rates!$C$27:$C$32,MATCH($L28,Rates!$B$27:$B$32,0))="","No rate typed yet for this plant. ","")))))</f>
        <v/>
      </c>
    </row>
    <row r="29">
      <c r="B29" s="30" t="inlineStr">
        <is>
          <t>33.150</t>
        </is>
      </c>
      <c r="C29" s="22" t="inlineStr">
        <is>
          <t>Plot connections</t>
        </is>
      </c>
      <c r="D29" s="31" t="inlineStr">
        <is>
          <t>Water service, 25 mm, with stopcock and box</t>
        </is>
      </c>
      <c r="E29" s="22" t="n">
        <v>24</v>
      </c>
      <c r="F29" s="22" t="inlineStr">
        <is>
          <t>nr</t>
        </is>
      </c>
      <c r="G29" s="22" t="inlineStr">
        <is>
          <t>Pipelayer</t>
        </is>
      </c>
      <c r="H29" s="22" t="n">
        <v>3</v>
      </c>
      <c r="I29" s="32" t="n"/>
      <c r="J29" s="32" t="n">
        <v>160</v>
      </c>
      <c r="K29" s="22" t="n">
        <v>0</v>
      </c>
      <c r="L29" s="22" t="inlineStr">
        <is>
          <t>Backhoe loader</t>
        </is>
      </c>
      <c r="M29" s="22" t="inlineStr">
        <is>
          <t>Water main</t>
        </is>
      </c>
      <c r="N29" s="22" t="n">
        <v>1.2</v>
      </c>
      <c r="O29" s="22" t="n"/>
      <c r="P29" s="31" t="n"/>
      <c r="Q29" s="33">
        <f>IF($E29="","",$E29*$H29)</f>
        <v>72</v>
      </c>
      <c r="R29" s="33">
        <f>IF($E29="","",IF($I29&lt;&gt;"",$I29,IF($G29="",Rates!$C$23,IFERROR(INDEX(Rates!$C$13:$C$22,MATCH($G29,Rates!$B$13:$B$22,0)),Rates!$C$23))))</f>
        <v>29</v>
      </c>
      <c r="S29" s="33">
        <f>IF($E29="","",ROUND($Q29*$R29,2))</f>
        <v>2088</v>
      </c>
      <c r="T29" s="33">
        <f>IF($E29="","",ROUND($E29*$J29*(1+$K29/100),2))</f>
        <v>3840</v>
      </c>
      <c r="U29" s="33">
        <f>IF($E29="","",ROUND(IF($N29&lt;&gt;"",$E29*$N29,$Q29)*IF($L29="",0,IFERROR(INDEX(Rates!$C$27:$C$32,MATCH($L29,Rates!$B$27:$B$32,0)),0)),2))</f>
        <v>1094.4</v>
      </c>
      <c r="V29" s="33">
        <f>IF($E29="","",ROUND($S29+$T29+$U29,2))</f>
        <v>7022.4</v>
      </c>
      <c r="W29" s="33">
        <f>IF($E29="","",IF($E29=0,0,ROUND($V29/$E29,2)))</f>
        <v>292.6</v>
      </c>
      <c r="X29" s="34" t="str">
        <f>IF($E29="","",TRIM(IF(OR($I29&lt;&gt;"",$G29="",$Q29=0),"",IF(ISNA(MATCH($G29,Rates!$B$13:$B$22,0)),"Trade is not on your Rates list: priced at the standard rate. ",IF(INDEX(Rates!$C$13:$C$22,MATCH($G29,Rates!$B$13:$B$22,0))="","No rate typed yet for this trade. ","")))&amp;IF($L29="","",IF(ISNA(MATCH($L29,Rates!$B$27:$B$32,0)),"Plant is not on your Rates list: no cost added. ",IF(INDEX(Rates!$C$27:$C$32,MATCH($L29,Rates!$B$27:$B$32,0))="","No rate typed yet for this plant. ","")))))</f>
        <v/>
      </c>
    </row>
    <row r="30">
      <c r="B30" s="35" t="inlineStr">
        <is>
          <t>33.160</t>
        </is>
      </c>
      <c r="C30" s="36" t="inlineStr">
        <is>
          <t>Plot connections</t>
        </is>
      </c>
      <c r="D30" s="37" t="inlineStr">
        <is>
          <t>Foul connection, 100 mm, to plot boundary</t>
        </is>
      </c>
      <c r="E30" s="36" t="n">
        <v>24</v>
      </c>
      <c r="F30" s="36" t="inlineStr">
        <is>
          <t>nr</t>
        </is>
      </c>
      <c r="G30" s="36" t="inlineStr">
        <is>
          <t>Pipelayer</t>
        </is>
      </c>
      <c r="H30" s="36" t="n">
        <v>3.5</v>
      </c>
      <c r="I30" s="38" t="n"/>
      <c r="J30" s="38" t="n">
        <v>140</v>
      </c>
      <c r="K30" s="36" t="n">
        <v>0</v>
      </c>
      <c r="L30" s="36" t="inlineStr">
        <is>
          <t>Backhoe loader</t>
        </is>
      </c>
      <c r="M30" s="36" t="inlineStr">
        <is>
          <t>Foul sewer</t>
        </is>
      </c>
      <c r="N30" s="36" t="n">
        <v>1.5</v>
      </c>
      <c r="O30" s="36" t="n"/>
      <c r="P30" s="37" t="n"/>
      <c r="Q30" s="33">
        <f>IF($E30="","",$E30*$H30)</f>
        <v>84</v>
      </c>
      <c r="R30" s="33">
        <f>IF($E30="","",IF($I30&lt;&gt;"",$I30,IF($G30="",Rates!$C$23,IFERROR(INDEX(Rates!$C$13:$C$22,MATCH($G30,Rates!$B$13:$B$22,0)),Rates!$C$23))))</f>
        <v>29</v>
      </c>
      <c r="S30" s="33">
        <f>IF($E30="","",ROUND($Q30*$R30,2))</f>
        <v>2436</v>
      </c>
      <c r="T30" s="33">
        <f>IF($E30="","",ROUND($E30*$J30*(1+$K30/100),2))</f>
        <v>3360</v>
      </c>
      <c r="U30" s="33">
        <f>IF($E30="","",ROUND(IF($N30&lt;&gt;"",$E30*$N30,$Q30)*IF($L30="",0,IFERROR(INDEX(Rates!$C$27:$C$32,MATCH($L30,Rates!$B$27:$B$32,0)),0)),2))</f>
        <v>1368</v>
      </c>
      <c r="V30" s="33">
        <f>IF($E30="","",ROUND($S30+$T30+$U30,2))</f>
        <v>7164</v>
      </c>
      <c r="W30" s="33">
        <f>IF($E30="","",IF($E30=0,0,ROUND($V30/$E30,2)))</f>
        <v>298.5</v>
      </c>
      <c r="X30" s="34" t="str">
        <f>IF($E30="","",TRIM(IF(OR($I30&lt;&gt;"",$G30="",$Q30=0),"",IF(ISNA(MATCH($G30,Rates!$B$13:$B$22,0)),"Trade is not on your Rates list: priced at the standard rate. ",IF(INDEX(Rates!$C$13:$C$22,MATCH($G30,Rates!$B$13:$B$22,0))="","No rate typed yet for this trade. ","")))&amp;IF($L30="","",IF(ISNA(MATCH($L30,Rates!$B$27:$B$32,0)),"Plant is not on your Rates list: no cost added. ",IF(INDEX(Rates!$C$27:$C$32,MATCH($L30,Rates!$B$27:$B$32,0))="","No rate typed yet for this plant. ","")))))</f>
        <v/>
      </c>
    </row>
    <row r="31">
      <c r="B31" s="30" t="inlineStr">
        <is>
          <t>33.200</t>
        </is>
      </c>
      <c r="C31" s="22" t="inlineStr">
        <is>
          <t>Plot connections</t>
        </is>
      </c>
      <c r="D31" s="31" t="inlineStr">
        <is>
          <t>Backfill and compact connection trenches</t>
        </is>
      </c>
      <c r="E31" s="22" t="n">
        <v>24</v>
      </c>
      <c r="F31" s="22" t="inlineStr">
        <is>
          <t>nr</t>
        </is>
      </c>
      <c r="G31" s="22" t="inlineStr">
        <is>
          <t>Groundworker</t>
        </is>
      </c>
      <c r="H31" s="22" t="n">
        <v>2</v>
      </c>
      <c r="I31" s="32" t="n"/>
      <c r="J31" s="32" t="n">
        <v>24.8</v>
      </c>
      <c r="K31" s="22" t="n">
        <v>0</v>
      </c>
      <c r="L31" s="22" t="n"/>
      <c r="M31" s="22" t="inlineStr">
        <is>
          <t>Trench</t>
        </is>
      </c>
      <c r="N31" s="22" t="n"/>
      <c r="O31" s="22" t="n"/>
      <c r="P31" s="31" t="n"/>
      <c r="Q31" s="33">
        <f>IF($E31="","",$E31*$H31)</f>
        <v>48</v>
      </c>
      <c r="R31" s="33">
        <f>IF($E31="","",IF($I31&lt;&gt;"",$I31,IF($G31="",Rates!$C$23,IFERROR(INDEX(Rates!$C$13:$C$22,MATCH($G31,Rates!$B$13:$B$22,0)),Rates!$C$23))))</f>
        <v>28</v>
      </c>
      <c r="S31" s="33">
        <f>IF($E31="","",ROUND($Q31*$R31,2))</f>
        <v>1344</v>
      </c>
      <c r="T31" s="33">
        <f>IF($E31="","",ROUND($E31*$J31*(1+$K31/100),2))</f>
        <v>595.2</v>
      </c>
      <c r="U31" s="33">
        <f>IF($E31="","",ROUND(IF($N31&lt;&gt;"",$E31*$N31,$Q31)*IF($L31="",0,IFERROR(INDEX(Rates!$C$27:$C$32,MATCH($L31,Rates!$B$27:$B$32,0)),0)),2))</f>
        <v>0</v>
      </c>
      <c r="V31" s="33">
        <f>IF($E31="","",ROUND($S31+$T31+$U31,2))</f>
        <v>1939.2</v>
      </c>
      <c r="W31" s="33">
        <f>IF($E31="","",IF($E31=0,0,ROUND($V31/$E31,2)))</f>
        <v>80.8</v>
      </c>
      <c r="X31" s="34" t="str">
        <f>IF($E31="","",TRIM(IF(OR($I31&lt;&gt;"",$G31="",$Q31=0),"",IF(ISNA(MATCH($G31,Rates!$B$13:$B$22,0)),"Trade is not on your Rates list: priced at the standard rate. ",IF(INDEX(Rates!$C$13:$C$22,MATCH($G31,Rates!$B$13:$B$22,0))="","No rate typed yet for this trade. ","")))&amp;IF($L31="","",IF(ISNA(MATCH($L31,Rates!$B$27:$B$32,0)),"Plant is not on your Rates list: no cost added. ",IF(INDEX(Rates!$C$27:$C$32,MATCH($L31,Rates!$B$27:$B$32,0))="","No rate typed yet for this plant. ","")))))</f>
        <v/>
      </c>
    </row>
    <row r="32">
      <c r="B32" s="35" t="inlineStr">
        <is>
          <t>33.260</t>
        </is>
      </c>
      <c r="C32" s="36" t="inlineStr">
        <is>
          <t>Plot connections</t>
        </is>
      </c>
      <c r="D32" s="37" t="inlineStr">
        <is>
          <t>Service markers and tracer wire</t>
        </is>
      </c>
      <c r="E32" s="36" t="n">
        <v>48</v>
      </c>
      <c r="F32" s="36" t="inlineStr">
        <is>
          <t>nr</t>
        </is>
      </c>
      <c r="G32" s="36" t="inlineStr">
        <is>
          <t>Groundworker</t>
        </is>
      </c>
      <c r="H32" s="36" t="n">
        <v>0.3</v>
      </c>
      <c r="I32" s="38" t="n"/>
      <c r="J32" s="38" t="n">
        <v>9.9</v>
      </c>
      <c r="K32" s="36" t="n">
        <v>0</v>
      </c>
      <c r="L32" s="36" t="n"/>
      <c r="M32" s="36" t="inlineStr">
        <is>
          <t>Water main</t>
        </is>
      </c>
      <c r="N32" s="36" t="n"/>
      <c r="O32" s="36" t="n"/>
      <c r="P32" s="37" t="n"/>
      <c r="Q32" s="33">
        <f>IF($E32="","",$E32*$H32)</f>
        <v>14.399999999999999</v>
      </c>
      <c r="R32" s="33">
        <f>IF($E32="","",IF($I32&lt;&gt;"",$I32,IF($G32="",Rates!$C$23,IFERROR(INDEX(Rates!$C$13:$C$22,MATCH($G32,Rates!$B$13:$B$22,0)),Rates!$C$23))))</f>
        <v>28</v>
      </c>
      <c r="S32" s="33">
        <f>IF($E32="","",ROUND($Q32*$R32,2))</f>
        <v>403.2</v>
      </c>
      <c r="T32" s="33">
        <f>IF($E32="","",ROUND($E32*$J32*(1+$K32/100),2))</f>
        <v>475.2</v>
      </c>
      <c r="U32" s="33">
        <f>IF($E32="","",ROUND(IF($N32&lt;&gt;"",$E32*$N32,$Q32)*IF($L32="",0,IFERROR(INDEX(Rates!$C$27:$C$32,MATCH($L32,Rates!$B$27:$B$32,0)),0)),2))</f>
        <v>0</v>
      </c>
      <c r="V32" s="33">
        <f>IF($E32="","",ROUND($S32+$T32+$U32,2))</f>
        <v>878.4</v>
      </c>
      <c r="W32" s="33">
        <f>IF($E32="","",IF($E32=0,0,ROUND($V32/$E32,2)))</f>
        <v>18.3</v>
      </c>
      <c r="X32" s="34" t="str">
        <f>IF($E32="","",TRIM(IF(OR($I32&lt;&gt;"",$G32="",$Q32=0),"",IF(ISNA(MATCH($G32,Rates!$B$13:$B$22,0)),"Trade is not on your Rates list: priced at the standard rate. ",IF(INDEX(Rates!$C$13:$C$22,MATCH($G32,Rates!$B$13:$B$22,0))="","No rate typed yet for this trade. ","")))&amp;IF($L32="","",IF(ISNA(MATCH($L32,Rates!$B$27:$B$32,0)),"Plant is not on your Rates list: no cost added. ",IF(INDEX(Rates!$C$27:$C$32,MATCH($L32,Rates!$B$27:$B$32,0))="","No rate typed yet for this plant. ","")))))</f>
        <v/>
      </c>
    </row>
    <row r="33">
      <c r="B33" s="30" t="inlineStr">
        <is>
          <t>33.230</t>
        </is>
      </c>
      <c r="C33" s="22" t="inlineStr">
        <is>
          <t>Testing and reinstatement</t>
        </is>
      </c>
      <c r="D33" s="31" t="inlineStr">
        <is>
          <t>Pressure test and chlorinate water main</t>
        </is>
      </c>
      <c r="E33" s="22" t="n">
        <v>2</v>
      </c>
      <c r="F33" s="22" t="inlineStr">
        <is>
          <t>nr</t>
        </is>
      </c>
      <c r="G33" s="22" t="inlineStr">
        <is>
          <t>Pipe gang foreman</t>
        </is>
      </c>
      <c r="H33" s="22" t="n">
        <v>12</v>
      </c>
      <c r="I33" s="32" t="n"/>
      <c r="J33" s="32" t="n">
        <v>248</v>
      </c>
      <c r="K33" s="22" t="n">
        <v>0</v>
      </c>
      <c r="L33" s="22" t="n"/>
      <c r="M33" s="22" t="inlineStr">
        <is>
          <t>Water main</t>
        </is>
      </c>
      <c r="N33" s="22" t="n"/>
      <c r="O33" s="22" t="n"/>
      <c r="P33" s="31" t="n"/>
      <c r="Q33" s="33">
        <f>IF($E33="","",$E33*$H33)</f>
        <v>24</v>
      </c>
      <c r="R33" s="33">
        <f>IF($E33="","",IF($I33&lt;&gt;"",$I33,IF($G33="",Rates!$C$23,IFERROR(INDEX(Rates!$C$13:$C$22,MATCH($G33,Rates!$B$13:$B$22,0)),Rates!$C$23))))</f>
        <v>36</v>
      </c>
      <c r="S33" s="33">
        <f>IF($E33="","",ROUND($Q33*$R33,2))</f>
        <v>864</v>
      </c>
      <c r="T33" s="33">
        <f>IF($E33="","",ROUND($E33*$J33*(1+$K33/100),2))</f>
        <v>496</v>
      </c>
      <c r="U33" s="33">
        <f>IF($E33="","",ROUND(IF($N33&lt;&gt;"",$E33*$N33,$Q33)*IF($L33="",0,IFERROR(INDEX(Rates!$C$27:$C$32,MATCH($L33,Rates!$B$27:$B$32,0)),0)),2))</f>
        <v>0</v>
      </c>
      <c r="V33" s="33">
        <f>IF($E33="","",ROUND($S33+$T33+$U33,2))</f>
        <v>1360</v>
      </c>
      <c r="W33" s="33">
        <f>IF($E33="","",IF($E33=0,0,ROUND($V33/$E33,2)))</f>
        <v>680</v>
      </c>
      <c r="X33" s="34" t="str">
        <f>IF($E33="","",TRIM(IF(OR($I33&lt;&gt;"",$G33="",$Q33=0),"",IF(ISNA(MATCH($G33,Rates!$B$13:$B$22,0)),"Trade is not on your Rates list: priced at the standard rate. ",IF(INDEX(Rates!$C$13:$C$22,MATCH($G33,Rates!$B$13:$B$22,0))="","No rate typed yet for this trade. ","")))&amp;IF($L33="","",IF(ISNA(MATCH($L33,Rates!$B$27:$B$32,0)),"Plant is not on your Rates list: no cost added. ",IF(INDEX(Rates!$C$27:$C$32,MATCH($L33,Rates!$B$27:$B$32,0))="","No rate typed yet for this plant. ","")))))</f>
        <v/>
      </c>
    </row>
    <row r="34">
      <c r="B34" s="35" t="inlineStr">
        <is>
          <t>33.240</t>
        </is>
      </c>
      <c r="C34" s="36" t="inlineStr">
        <is>
          <t>Testing and reinstatement</t>
        </is>
      </c>
      <c r="D34" s="37" t="inlineStr">
        <is>
          <t>Jet and clean sewer before survey</t>
        </is>
      </c>
      <c r="E34" s="36" t="n">
        <v>640</v>
      </c>
      <c r="F34" s="36" t="inlineStr">
        <is>
          <t>m</t>
        </is>
      </c>
      <c r="G34" s="36" t="inlineStr">
        <is>
          <t>Groundworker</t>
        </is>
      </c>
      <c r="H34" s="36" t="n">
        <v>0.02</v>
      </c>
      <c r="I34" s="38" t="n"/>
      <c r="J34" s="38" t="n">
        <v>0.45</v>
      </c>
      <c r="K34" s="36" t="n">
        <v>0</v>
      </c>
      <c r="L34" s="36" t="n"/>
      <c r="M34" s="36" t="inlineStr">
        <is>
          <t>Foul sewer</t>
        </is>
      </c>
      <c r="N34" s="36" t="n"/>
      <c r="O34" s="36" t="n"/>
      <c r="P34" s="37" t="n"/>
      <c r="Q34" s="33">
        <f>IF($E34="","",$E34*$H34)</f>
        <v>12.8</v>
      </c>
      <c r="R34" s="33">
        <f>IF($E34="","",IF($I34&lt;&gt;"",$I34,IF($G34="",Rates!$C$23,IFERROR(INDEX(Rates!$C$13:$C$22,MATCH($G34,Rates!$B$13:$B$22,0)),Rates!$C$23))))</f>
        <v>28</v>
      </c>
      <c r="S34" s="33">
        <f>IF($E34="","",ROUND($Q34*$R34,2))</f>
        <v>358.4</v>
      </c>
      <c r="T34" s="33">
        <f>IF($E34="","",ROUND($E34*$J34*(1+$K34/100),2))</f>
        <v>288</v>
      </c>
      <c r="U34" s="33">
        <f>IF($E34="","",ROUND(IF($N34&lt;&gt;"",$E34*$N34,$Q34)*IF($L34="",0,IFERROR(INDEX(Rates!$C$27:$C$32,MATCH($L34,Rates!$B$27:$B$32,0)),0)),2))</f>
        <v>0</v>
      </c>
      <c r="V34" s="33">
        <f>IF($E34="","",ROUND($S34+$T34+$U34,2))</f>
        <v>646.4</v>
      </c>
      <c r="W34" s="33">
        <f>IF($E34="","",IF($E34=0,0,ROUND($V34/$E34,2)))</f>
        <v>1.01</v>
      </c>
      <c r="X34" s="34" t="str">
        <f>IF($E34="","",TRIM(IF(OR($I34&lt;&gt;"",$G34="",$Q34=0),"",IF(ISNA(MATCH($G34,Rates!$B$13:$B$22,0)),"Trade is not on your Rates list: priced at the standard rate. ",IF(INDEX(Rates!$C$13:$C$22,MATCH($G34,Rates!$B$13:$B$22,0))="","No rate typed yet for this trade. ","")))&amp;IF($L34="","",IF(ISNA(MATCH($L34,Rates!$B$27:$B$32,0)),"Plant is not on your Rates list: no cost added. ",IF(INDEX(Rates!$C$27:$C$32,MATCH($L34,Rates!$B$27:$B$32,0))="","No rate typed yet for this plant. ","")))))</f>
        <v/>
      </c>
    </row>
    <row r="35">
      <c r="B35" s="30" t="inlineStr">
        <is>
          <t>33.250</t>
        </is>
      </c>
      <c r="C35" s="22" t="inlineStr">
        <is>
          <t>Testing and reinstatement</t>
        </is>
      </c>
      <c r="D35" s="31" t="inlineStr">
        <is>
          <t>Topsoil and turf over trench lines</t>
        </is>
      </c>
      <c r="E35" s="22" t="n">
        <v>1100</v>
      </c>
      <c r="F35" s="22" t="inlineStr">
        <is>
          <t>m2</t>
        </is>
      </c>
      <c r="G35" s="22" t="inlineStr">
        <is>
          <t>Groundworker</t>
        </is>
      </c>
      <c r="H35" s="22" t="n">
        <v>0.04</v>
      </c>
      <c r="I35" s="32" t="n"/>
      <c r="J35" s="32" t="n">
        <v>4.13</v>
      </c>
      <c r="K35" s="22" t="n">
        <v>5</v>
      </c>
      <c r="L35" s="22" t="n"/>
      <c r="M35" s="22" t="inlineStr">
        <is>
          <t>Trench</t>
        </is>
      </c>
      <c r="N35" s="22" t="n"/>
      <c r="O35" s="22" t="n"/>
      <c r="P35" s="31" t="n"/>
      <c r="Q35" s="33">
        <f>IF($E35="","",$E35*$H35)</f>
        <v>44</v>
      </c>
      <c r="R35" s="33">
        <f>IF($E35="","",IF($I35&lt;&gt;"",$I35,IF($G35="",Rates!$C$23,IFERROR(INDEX(Rates!$C$13:$C$22,MATCH($G35,Rates!$B$13:$B$22,0)),Rates!$C$23))))</f>
        <v>28</v>
      </c>
      <c r="S35" s="33">
        <f>IF($E35="","",ROUND($Q35*$R35,2))</f>
        <v>1232</v>
      </c>
      <c r="T35" s="33">
        <f>IF($E35="","",ROUND($E35*$J35*(1+$K35/100),2))</f>
        <v>4770.15</v>
      </c>
      <c r="U35" s="33">
        <f>IF($E35="","",ROUND(IF($N35&lt;&gt;"",$E35*$N35,$Q35)*IF($L35="",0,IFERROR(INDEX(Rates!$C$27:$C$32,MATCH($L35,Rates!$B$27:$B$32,0)),0)),2))</f>
        <v>0</v>
      </c>
      <c r="V35" s="33">
        <f>IF($E35="","",ROUND($S35+$T35+$U35,2))</f>
        <v>6002.15</v>
      </c>
      <c r="W35" s="33">
        <f>IF($E35="","",IF($E35=0,0,ROUND($V35/$E35,2)))</f>
        <v>5.46</v>
      </c>
      <c r="X35" s="34" t="str">
        <f>IF($E35="","",TRIM(IF(OR($I35&lt;&gt;"",$G35="",$Q35=0),"",IF(ISNA(MATCH($G35,Rates!$B$13:$B$22,0)),"Trade is not on your Rates list: priced at the standard rate. ",IF(INDEX(Rates!$C$13:$C$22,MATCH($G35,Rates!$B$13:$B$22,0))="","No rate typed yet for this trade. ","")))&amp;IF($L35="","",IF(ISNA(MATCH($L35,Rates!$B$27:$B$32,0)),"Plant is not on your Rates list: no cost added. ",IF(INDEX(Rates!$C$27:$C$32,MATCH($L35,Rates!$B$27:$B$32,0))="","No rate typed yet for this plant.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","")))&amp;IF($L36="","",IF(ISNA(MATCH($L36,Rates!$B$27:$B$32,0)),"Plant is not on your Rates list: no cost added. ",IF(INDEX(Rates!$C$27:$C$32,MATCH($L36,Rates!$B$27:$B$32,0))="","No rate typed yet for this plant.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","")))&amp;IF($L37="","",IF(ISNA(MATCH($L37,Rates!$B$27:$B$32,0)),"Plant is not on your Rates list: no cost added. ",IF(INDEX(Rates!$C$27:$C$32,MATCH($L37,Rates!$B$27:$B$32,0))="","No rate typed yet for this plant.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","")))&amp;IF($L38="","",IF(ISNA(MATCH($L38,Rates!$B$27:$B$32,0)),"Plant is not on your Rates list: no cost added. ",IF(INDEX(Rates!$C$27:$C$32,MATCH($L38,Rates!$B$27:$B$32,0))="","No rate typed yet for this plant.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","")))&amp;IF($L39="","",IF(ISNA(MATCH($L39,Rates!$B$27:$B$32,0)),"Plant is not on your Rates list: no cost added. ",IF(INDEX(Rates!$C$27:$C$32,MATCH($L39,Rates!$B$27:$B$32,0))="","No rate typed yet for this plant.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","")))&amp;IF($L40="","",IF(ISNA(MATCH($L40,Rates!$B$27:$B$32,0)),"Plant is not on your Rates list: no cost added. ",IF(INDEX(Rates!$C$27:$C$32,MATCH($L40,Rates!$B$27:$B$32,0))="","No rate typed yet for this plant.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","")))&amp;IF($L41="","",IF(ISNA(MATCH($L41,Rates!$B$27:$B$32,0)),"Plant is not on your Rates list: no cost added. ",IF(INDEX(Rates!$C$27:$C$32,MATCH($L41,Rates!$B$27:$B$32,0))="","No rate typed yet for this plant.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","")))&amp;IF($L42="","",IF(ISNA(MATCH($L42,Rates!$B$27:$B$32,0)),"Plant is not on your Rates list: no cost added. ",IF(INDEX(Rates!$C$27:$C$32,MATCH($L42,Rates!$B$27:$B$32,0))="","No rate typed yet for this plant.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","")))&amp;IF($L43="","",IF(ISNA(MATCH($L43,Rates!$B$27:$B$32,0)),"Plant is not on your Rates list: no cost added. ",IF(INDEX(Rates!$C$27:$C$32,MATCH($L43,Rates!$B$27:$B$32,0))="","No rate typed yet for this plant.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","")))&amp;IF($L44="","",IF(ISNA(MATCH($L44,Rates!$B$27:$B$32,0)),"Plant is not on your Rates list: no cost added. ",IF(INDEX(Rates!$C$27:$C$32,MATCH($L44,Rates!$B$27:$B$32,0))="","No rate typed yet for this plant.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","")))&amp;IF($L45="","",IF(ISNA(MATCH($L45,Rates!$B$27:$B$32,0)),"Plant is not on your Rates list: no cost added. ",IF(INDEX(Rates!$C$27:$C$32,MATCH($L45,Rates!$B$27:$B$32,0))="","No rate typed yet for this plant.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","")))&amp;IF($L46="","",IF(ISNA(MATCH($L46,Rates!$B$27:$B$32,0)),"Plant is not on your Rates list: no cost added. ",IF(INDEX(Rates!$C$27:$C$32,MATCH($L46,Rates!$B$27:$B$32,0))="","No rate typed yet for this plant.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","")))&amp;IF($L47="","",IF(ISNA(MATCH($L47,Rates!$B$27:$B$32,0)),"Plant is not on your Rates list: no cost added. ",IF(INDEX(Rates!$C$27:$C$32,MATCH($L47,Rates!$B$27:$B$32,0))="","No rate typed yet for this plant.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","")))&amp;IF($L48="","",IF(ISNA(MATCH($L48,Rates!$B$27:$B$32,0)),"Plant is not on your Rates list: no cost added. ",IF(INDEX(Rates!$C$27:$C$32,MATCH($L48,Rates!$B$27:$B$32,0))="","No rate typed yet for this plant.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","")))&amp;IF($L49="","",IF(ISNA(MATCH($L49,Rates!$B$27:$B$32,0)),"Plant is not on your Rates list: no cost added. ",IF(INDEX(Rates!$C$27:$C$32,MATCH($L49,Rates!$B$27:$B$32,0))="","No rate typed yet for this plant.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","")))&amp;IF($L50="","",IF(ISNA(MATCH($L50,Rates!$B$27:$B$32,0)),"Plant is not on your Rates list: no cost added. ",IF(INDEX(Rates!$C$27:$C$32,MATCH($L50,Rates!$B$27:$B$32,0))="","No rate typed yet for this plant.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","")))&amp;IF($L51="","",IF(ISNA(MATCH($L51,Rates!$B$27:$B$32,0)),"Plant is not on your Rates list: no cost added. ",IF(INDEX(Rates!$C$27:$C$32,MATCH($L51,Rates!$B$27:$B$32,0))="","No rate typed yet for this plant.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","")))&amp;IF($L52="","",IF(ISNA(MATCH($L52,Rates!$B$27:$B$32,0)),"Plant is not on your Rates list: no cost added. ",IF(INDEX(Rates!$C$27:$C$32,MATCH($L52,Rates!$B$27:$B$32,0))="","No rate typed yet for this plant.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","")))&amp;IF($L53="","",IF(ISNA(MATCH($L53,Rates!$B$27:$B$32,0)),"Plant is not on your Rates list: no cost added. ",IF(INDEX(Rates!$C$27:$C$32,MATCH($L53,Rates!$B$27:$B$32,0))="","No rate typed yet for this plant.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","")))&amp;IF($L54="","",IF(ISNA(MATCH($L54,Rates!$B$27:$B$32,0)),"Plant is not on your Rates list: no cost added. ",IF(INDEX(Rates!$C$27:$C$32,MATCH($L54,Rates!$B$27:$B$32,0))="","No rate typed yet for this plant.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","")))&amp;IF($L55="","",IF(ISNA(MATCH($L55,Rates!$B$27:$B$32,0)),"Plant is not on your Rates list: no cost added. ",IF(INDEX(Rates!$C$27:$C$32,MATCH($L55,Rates!$B$27:$B$32,0))="","No rate typed yet for this plant.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","")))&amp;IF($L56="","",IF(ISNA(MATCH($L56,Rates!$B$27:$B$32,0)),"Plant is not on your Rates list: no cost added. ",IF(INDEX(Rates!$C$27:$C$32,MATCH($L56,Rates!$B$27:$B$32,0))="","No rate typed yet for this plant.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","")))&amp;IF($L57="","",IF(ISNA(MATCH($L57,Rates!$B$27:$B$32,0)),"Plant is not on your Rates list: no cost added. ",IF(INDEX(Rates!$C$27:$C$32,MATCH($L57,Rates!$B$27:$B$32,0))="","No rate typed yet for this plant.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","")))&amp;IF($L58="","",IF(ISNA(MATCH($L58,Rates!$B$27:$B$32,0)),"Plant is not on your Rates list: no cost added. ",IF(INDEX(Rates!$C$27:$C$32,MATCH($L58,Rates!$B$27:$B$32,0))="","No rate typed yet for this plant.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","")))&amp;IF($L59="","",IF(ISNA(MATCH($L59,Rates!$B$27:$B$32,0)),"Plant is not on your Rates list: no cost added. ",IF(INDEX(Rates!$C$27:$C$32,MATCH($L59,Rates!$B$27:$B$32,0))="","No rate typed yet for this plant.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","")))&amp;IF($L60="","",IF(ISNA(MATCH($L60,Rates!$B$27:$B$32,0)),"Plant is not on your Rates list: no cost added. ",IF(INDEX(Rates!$C$27:$C$32,MATCH($L60,Rates!$B$27:$B$32,0))="","No rate typed yet for this plant.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","")))&amp;IF($L61="","",IF(ISNA(MATCH($L61,Rates!$B$27:$B$32,0)),"Plant is not on your Rates list: no cost added. ",IF(INDEX(Rates!$C$27:$C$32,MATCH($L61,Rates!$B$27:$B$32,0))="","No rate typed yet for this plant.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","")))&amp;IF($L62="","",IF(ISNA(MATCH($L62,Rates!$B$27:$B$32,0)),"Plant is not on your Rates list: no cost added. ",IF(INDEX(Rates!$C$27:$C$32,MATCH($L62,Rates!$B$27:$B$32,0))="","No rate typed yet for this plant.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","")))&amp;IF($L63="","",IF(ISNA(MATCH($L63,Rates!$B$27:$B$32,0)),"Plant is not on your Rates list: no cost added. ",IF(INDEX(Rates!$C$27:$C$32,MATCH($L63,Rates!$B$27:$B$32,0))="","No rate typed yet for this plant.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","")))&amp;IF($L64="","",IF(ISNA(MATCH($L64,Rates!$B$27:$B$32,0)),"Plant is not on your Rates list: no cost added. ",IF(INDEX(Rates!$C$27:$C$32,MATCH($L64,Rates!$B$27:$B$32,0))="","No rate typed yet for this plant.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","")))&amp;IF($L65="","",IF(ISNA(MATCH($L65,Rates!$B$27:$B$32,0)),"Plant is not on your Rates list: no cost added. ",IF(INDEX(Rates!$C$27:$C$32,MATCH($L65,Rates!$B$27:$B$32,0))="","No rate typed yet for this plant.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","")))&amp;IF($L66="","",IF(ISNA(MATCH($L66,Rates!$B$27:$B$32,0)),"Plant is not on your Rates list: no cost added. ",IF(INDEX(Rates!$C$27:$C$32,MATCH($L66,Rates!$B$27:$B$32,0))="","No rate typed yet for this plant. ","")))))</f>
        <v/>
      </c>
    </row>
    <row r="67"/>
    <row r="68" ht="20" customHeight="1">
      <c r="M68" s="39" t="inlineStr">
        <is>
          <t>Totals, lines counted</t>
        </is>
      </c>
      <c r="Q68" s="40">
        <f>SUMIF($O$7:$O$66,"&lt;&gt;Yes",$Q$7:$Q$66)</f>
        <v>1327.7</v>
      </c>
      <c r="S68" s="41">
        <f>ROUND(SUMIF($O$7:$O$66,"&lt;&gt;Yes",$S$7:$S$66),2)</f>
        <v>38922.1</v>
      </c>
      <c r="T68" s="41">
        <f>ROUND(SUMIF($O$7:$O$66,"&lt;&gt;Yes",$T$7:$T$66),2)</f>
        <v>120033.75</v>
      </c>
      <c r="U68" s="41">
        <f>ROUND(SUMIF($O$7:$O$66,"&lt;&gt;Yes",$U$7:$U$66),2)</f>
        <v>17874.9</v>
      </c>
      <c r="V68" s="41">
        <f>ROUND(SUMIF($O$7:$O$66,"&lt;&gt;Yes",$V$7:$V$66),2)</f>
        <v>176830.75</v>
      </c>
    </row>
    <row r="69">
      <c r="M69" s="42" t="inlineStr">
        <is>
          <t>Total of lines left out (Excluded = Yes)</t>
        </is>
      </c>
      <c r="V69" s="43">
        <f>ROUND(SUMIF($O$7:$O$66,"Yes",$V$7:$V$66),2)</f>
        <v>4695.4</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Pla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tender?</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tender</t>
        </is>
      </c>
    </row>
    <row r="7">
      <c r="B7" s="22" t="inlineStr">
        <is>
          <t>33.240</t>
        </is>
      </c>
      <c r="C7" s="22" t="inlineStr">
        <is>
          <t>CCTV survey of the sewer</t>
        </is>
      </c>
      <c r="D7" s="22" t="inlineStr">
        <is>
          <t>Yes</t>
        </is>
      </c>
      <c r="E7" s="46" t="inlineStr">
        <is>
          <t>Bidder A</t>
        </is>
      </c>
      <c r="F7" s="23" t="n">
        <v>2900</v>
      </c>
      <c r="G7" s="46" t="inlineStr">
        <is>
          <t>Bidder B</t>
        </is>
      </c>
      <c r="H7" s="23" t="n">
        <v>2650</v>
      </c>
      <c r="I7" s="46" t="inlineStr">
        <is>
          <t>Bidder C</t>
        </is>
      </c>
      <c r="J7" s="23" t="n"/>
      <c r="K7" s="46" t="n"/>
      <c r="L7" s="23" t="n"/>
      <c r="M7" s="46" t="n"/>
      <c r="N7" s="23" t="n"/>
      <c r="O7" s="22" t="inlineStr">
        <is>
          <t>Bidder B: Incl. report and video. Bidder C: Declined</t>
        </is>
      </c>
      <c r="P7" s="33">
        <f>IF(OR($C7="",((N($F7)&gt;0)+(N($H7)&gt;0)+(N($J7)&gt;0)+(N($L7)&gt;0))=0),"",MIN(IF(N($F7)&gt;0,$F7,1E+99),IF(N($H7)&gt;0,$H7,1E+99),IF(N($J7)&gt;0,$J7,1E+99),IF(N($L7)&gt;0,$L7,1E+99)))</f>
        <v>2650</v>
      </c>
      <c r="Q7" s="47">
        <f>IF(OR($C7="",$P7=""),"",IF(IF(ISNUMBER($M7),IF(AND($M7&gt;=1,$M7&lt;=4,$M7=INT($M7)),N(CHOOSE($M7,$F7,$H7,$J7,$L7))&gt;0,FALSE),FALSE),$M7,IF(N($F7)=$P7,1,IF(N($H7)=$P7,2,IF(N($J7)=$P7,3,4)))))</f>
        <v>2</v>
      </c>
      <c r="R7" s="48" t="str">
        <f>IF($C7="","",IF($Q7="","Allowance",IF(CHOOSE($Q7,$E7,$G7,$I7,$K7)="","Quote "&amp;$Q7,CHOOSE($Q7,$E7,$G7,$I7,$K7))))</f>
        <v>Bidder B</v>
      </c>
      <c r="S7" s="33">
        <f>IF($C7="","",IF($Q7="",N($N7),CHOOSE($Q7,$F7,$H7,$J7,$L7)))</f>
        <v>2650</v>
      </c>
      <c r="T7" s="33">
        <f>IF($C7="","",IF($D7="No",0,$S7))</f>
        <v>2650</v>
      </c>
    </row>
    <row r="8">
      <c r="B8" s="36" t="inlineStr">
        <is>
          <t>33.250</t>
        </is>
      </c>
      <c r="C8" s="36" t="inlineStr">
        <is>
          <t>Carriageway reinstatement at connections</t>
        </is>
      </c>
      <c r="D8" s="36" t="inlineStr">
        <is>
          <t>Yes</t>
        </is>
      </c>
      <c r="E8" s="49" t="inlineStr">
        <is>
          <t>Bidder A</t>
        </is>
      </c>
      <c r="F8" s="50" t="n">
        <v>4290</v>
      </c>
      <c r="G8" s="49" t="inlineStr">
        <is>
          <t>Bidder B</t>
        </is>
      </c>
      <c r="H8" s="50" t="n">
        <v>4620</v>
      </c>
      <c r="I8" s="49" t="inlineStr">
        <is>
          <t>Bidder C</t>
        </is>
      </c>
      <c r="J8" s="50" t="n">
        <v>3960</v>
      </c>
      <c r="K8" s="49" t="n"/>
      <c r="L8" s="50" t="n"/>
      <c r="M8" s="49" t="n">
        <v>1</v>
      </c>
      <c r="N8" s="50" t="n"/>
      <c r="O8" s="36" t="inlineStr">
        <is>
          <t>Bidder C: Excl. traffic management</t>
        </is>
      </c>
      <c r="P8" s="33">
        <f>IF(OR($C8="",((N($F8)&gt;0)+(N($H8)&gt;0)+(N($J8)&gt;0)+(N($L8)&gt;0))=0),"",MIN(IF(N($F8)&gt;0,$F8,1E+99),IF(N($H8)&gt;0,$H8,1E+99),IF(N($J8)&gt;0,$J8,1E+99),IF(N($L8)&gt;0,$L8,1E+99)))</f>
        <v>3960</v>
      </c>
      <c r="Q8" s="47">
        <f>IF(OR($C8="",$P8=""),"",IF(IF(ISNUMBER($M8),IF(AND($M8&gt;=1,$M8&lt;=4,$M8=INT($M8)),N(CHOOSE($M8,$F8,$H8,$J8,$L8))&gt;0,FALSE),FALSE),$M8,IF(N($F8)=$P8,1,IF(N($H8)=$P8,2,IF(N($J8)=$P8,3,4)))))</f>
        <v>1</v>
      </c>
      <c r="R8" s="48" t="str">
        <f>IF($C8="","",IF($Q8="","Allowance",IF(CHOOSE($Q8,$E8,$G8,$I8,$K8)="","Quote "&amp;$Q8,CHOOSE($Q8,$E8,$G8,$I8,$K8))))</f>
        <v>Bidder A</v>
      </c>
      <c r="S8" s="33">
        <f>IF($C8="","",IF($Q8="",N($N8),CHOOSE($Q8,$F8,$H8,$J8,$L8)))</f>
        <v>4290</v>
      </c>
      <c r="T8" s="33">
        <f>IF($C8="","",IF($D8="No",0,$S8))</f>
        <v>4290</v>
      </c>
    </row>
    <row r="9">
      <c r="B9" s="22" t="inlineStr">
        <is>
          <t>01.210</t>
        </is>
      </c>
      <c r="C9" s="22" t="inlineStr">
        <is>
          <t>Setting out and as-built survey</t>
        </is>
      </c>
      <c r="D9" s="22" t="inlineStr">
        <is>
          <t>Yes</t>
        </is>
      </c>
      <c r="E9" s="46" t="inlineStr">
        <is>
          <t>Bidder A</t>
        </is>
      </c>
      <c r="F9" s="23" t="n">
        <v>3795</v>
      </c>
      <c r="G9" s="46" t="inlineStr">
        <is>
          <t>Bidder B</t>
        </is>
      </c>
      <c r="H9" s="23" t="n">
        <v>4070</v>
      </c>
      <c r="I9" s="46" t="n"/>
      <c r="J9" s="23" t="n"/>
      <c r="K9" s="46" t="n"/>
      <c r="L9" s="23" t="n"/>
      <c r="M9" s="46" t="n"/>
      <c r="N9" s="23" t="n"/>
      <c r="O9" s="22" t="n"/>
      <c r="P9" s="33">
        <f>IF(OR($C9="",((N($F9)&gt;0)+(N($H9)&gt;0)+(N($J9)&gt;0)+(N($L9)&gt;0))=0),"",MIN(IF(N($F9)&gt;0,$F9,1E+99),IF(N($H9)&gt;0,$H9,1E+99),IF(N($J9)&gt;0,$J9,1E+99),IF(N($L9)&gt;0,$L9,1E+99)))</f>
        <v>3795</v>
      </c>
      <c r="Q9" s="47">
        <f>IF(OR($C9="",$P9=""),"",IF(IF(ISNUMBER($M9),IF(AND($M9&gt;=1,$M9&lt;=4,$M9=INT($M9)),N(CHOOSE($M9,$F9,$H9,$J9,$L9))&gt;0,FALSE),FALSE),$M9,IF(N($F9)=$P9,1,IF(N($H9)=$P9,2,IF(N($J9)=$P9,3,4)))))</f>
        <v>1</v>
      </c>
      <c r="R9" s="48" t="str">
        <f>IF($C9="","",IF($Q9="","Allowance",IF(CHOOSE($Q9,$E9,$G9,$I9,$K9)="","Quote "&amp;$Q9,CHOOSE($Q9,$E9,$G9,$I9,$K9))))</f>
        <v>Bidder A</v>
      </c>
      <c r="S9" s="33">
        <f>IF($C9="","",IF($Q9="",N($N9),CHOOSE($Q9,$F9,$H9,$J9,$L9)))</f>
        <v>3795</v>
      </c>
      <c r="T9" s="33">
        <f>IF($C9="","",IF($D9="No",0,$S9))</f>
        <v>3795</v>
      </c>
    </row>
    <row r="10">
      <c r="B10" s="36" t="inlineStr">
        <is>
          <t>01.340</t>
        </is>
      </c>
      <c r="C10" s="36" t="inlineStr">
        <is>
          <t>Rock and boulder breaking, allowance</t>
        </is>
      </c>
      <c r="D10" s="36" t="inlineStr">
        <is>
          <t>Yes</t>
        </is>
      </c>
      <c r="E10" s="49" t="n"/>
      <c r="F10" s="50" t="n"/>
      <c r="G10" s="49" t="n"/>
      <c r="H10" s="50" t="n"/>
      <c r="I10" s="49" t="n"/>
      <c r="J10" s="50" t="n"/>
      <c r="K10" s="49" t="n"/>
      <c r="L10" s="50" t="n"/>
      <c r="M10" s="49" t="n"/>
      <c r="N10" s="50" t="n">
        <v>5000</v>
      </c>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Allowance</v>
      </c>
      <c r="S10" s="33">
        <f>IF($C10="","",IF($Q10="",N($N10),CHOOSE($Q10,$F10,$H10,$J10,$L10)))</f>
        <v>5000</v>
      </c>
      <c r="T10" s="33">
        <f>IF($C10="","",IF($D10="No",0,$S10))</f>
        <v>5000</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tender</t>
        </is>
      </c>
      <c r="T16" s="41">
        <f>ROUND(SUM(T7:T14),2)</f>
        <v>15735</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Preliminaries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inlineStr">
        <is>
          <t>01.100</t>
        </is>
      </c>
      <c r="C7" s="22" t="inlineStr">
        <is>
          <t>Site manager</t>
        </is>
      </c>
      <c r="D7" s="22" t="inlineStr">
        <is>
          <t>wk</t>
        </is>
      </c>
      <c r="E7" s="22" t="inlineStr">
        <is>
          <t>Yes</t>
        </is>
      </c>
      <c r="F7" s="22" t="n"/>
      <c r="G7" s="23" t="n">
        <v>1600</v>
      </c>
      <c r="H7" s="52">
        <f>IF($C7="","",IF(AND($E7="Yes",$D7="wk"),Rates!$C$9,IF(AND($E7="Yes",$D7="mo"),Rates!$C$9/(52/12),N($F7))))</f>
        <v>7</v>
      </c>
      <c r="I7" s="33">
        <f>IF($C7="","",ROUND($H7*N($G7),2))</f>
        <v>11200</v>
      </c>
    </row>
    <row r="8" ht="16.5" customHeight="1">
      <c r="B8" s="36" t="inlineStr">
        <is>
          <t>33.200</t>
        </is>
      </c>
      <c r="C8" s="36" t="inlineStr">
        <is>
          <t>Trench box hire</t>
        </is>
      </c>
      <c r="D8" s="36" t="inlineStr">
        <is>
          <t>wk</t>
        </is>
      </c>
      <c r="E8" s="36" t="inlineStr">
        <is>
          <t>Yes</t>
        </is>
      </c>
      <c r="F8" s="36" t="n"/>
      <c r="G8" s="50" t="n">
        <v>450</v>
      </c>
      <c r="H8" s="52">
        <f>IF($C8="","",IF(AND($E8="Yes",$D8="wk"),Rates!$C$9,IF(AND($E8="Yes",$D8="mo"),Rates!$C$9/(52/12),N($F8))))</f>
        <v>7</v>
      </c>
      <c r="I8" s="33">
        <f>IF($C8="","",ROUND($H8*N($G8),2))</f>
        <v>3150</v>
      </c>
    </row>
    <row r="9" ht="16.5" customHeight="1">
      <c r="B9" s="22" t="inlineStr">
        <is>
          <t>01.110</t>
        </is>
      </c>
      <c r="C9" s="22" t="inlineStr">
        <is>
          <t>Mobilise excavator, backhoe and trench box</t>
        </is>
      </c>
      <c r="D9" s="22" t="inlineStr">
        <is>
          <t>LS</t>
        </is>
      </c>
      <c r="E9" s="22" t="n"/>
      <c r="F9" s="22" t="n">
        <v>1</v>
      </c>
      <c r="G9" s="23" t="n">
        <v>4000</v>
      </c>
      <c r="H9" s="52">
        <f>IF($C9="","",IF(AND($E9="Yes",$D9="wk"),Rates!$C$9,IF(AND($E9="Yes",$D9="mo"),Rates!$C$9/(52/12),N($F9))))</f>
        <v>1</v>
      </c>
      <c r="I9" s="33">
        <f>IF($C9="","",ROUND($H9*N($G9),2))</f>
        <v>4000</v>
      </c>
    </row>
    <row r="10" ht="16.5" customHeight="1">
      <c r="B10" s="36" t="inlineStr">
        <is>
          <t>01.160</t>
        </is>
      </c>
      <c r="C10" s="36" t="inlineStr">
        <is>
          <t>Traffic management at the connections</t>
        </is>
      </c>
      <c r="D10" s="36" t="inlineStr">
        <is>
          <t>day</t>
        </is>
      </c>
      <c r="E10" s="36" t="n"/>
      <c r="F10" s="36" t="n">
        <v>6</v>
      </c>
      <c r="G10" s="50" t="n">
        <v>650</v>
      </c>
      <c r="H10" s="52">
        <f>IF($C10="","",IF(AND($E10="Yes",$D10="wk"),Rates!$C$9,IF(AND($E10="Yes",$D10="mo"),Rates!$C$9/(52/12),N($F10))))</f>
        <v>6</v>
      </c>
      <c r="I10" s="33">
        <f>IF($C10="","",ROUND($H10*N($G10),2))</f>
        <v>3900</v>
      </c>
    </row>
    <row r="11" ht="16.5" customHeight="1">
      <c r="B11" s="22" t="inlineStr">
        <is>
          <t>01.120</t>
        </is>
      </c>
      <c r="C11" s="22" t="inlineStr">
        <is>
          <t>Site cabin</t>
        </is>
      </c>
      <c r="D11" s="22" t="inlineStr">
        <is>
          <t>wk</t>
        </is>
      </c>
      <c r="E11" s="22" t="inlineStr">
        <is>
          <t>Yes</t>
        </is>
      </c>
      <c r="F11" s="22" t="n"/>
      <c r="G11" s="23" t="n">
        <v>150</v>
      </c>
      <c r="H11" s="52">
        <f>IF($C11="","",IF(AND($E11="Yes",$D11="wk"),Rates!$C$9,IF(AND($E11="Yes",$D11="mo"),Rates!$C$9/(52/12),N($F11))))</f>
        <v>7</v>
      </c>
      <c r="I11" s="33">
        <f>IF($C11="","",ROUND($H11*N($G11),2))</f>
        <v>1050</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23300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Tender summary</t>
        </is>
      </c>
    </row>
    <row r="3" ht="36" customHeight="1">
      <c r="B3" s="14" t="inlineStr">
        <is>
          <t>Your tender, worked out in the order the calculations run. Each amount is rounded to the penny where it is worked out, so the column adds up exactly. Nothing on this tab is typed: change the other tabs and it follows.</t>
        </is>
      </c>
    </row>
    <row r="4" ht="6" customHeight="1"/>
    <row r="5">
      <c r="B5" s="24" t="inlineStr">
        <is>
          <t>Job</t>
        </is>
      </c>
      <c r="C5" s="24" t="str">
        <f>IF(Rates!$C$6="","",Rates!$C$6)</f>
        <v>Housing phase, drainage and water (example)</v>
      </c>
    </row>
    <row r="6">
      <c r="B6" s="53" t="inlineStr">
        <is>
          <t>Location | Tender due | Length</t>
        </is>
      </c>
      <c r="C6" s="53" t="str">
        <f>IF(Rates!$C$7="","",Rates!$C$7)&amp;IF(Rates!$C$8="",""," | "&amp;TEXT(Rates!$C$8,"dd/mm/yyyy"))&amp;IF(Rates!$C$9="",""," | "&amp;Rates!$C$9&amp;" weeks")</f>
        <v>Bicester, Oxfordshire | 11/12/2026 | 7 weeks</v>
      </c>
    </row>
    <row r="7"/>
    <row r="8" ht="18" customHeight="1">
      <c r="B8" s="20" t="inlineStr">
        <is>
          <t>Item</t>
        </is>
      </c>
      <c r="C8" s="21" t="inlineStr">
        <is>
          <t>Amount</t>
        </is>
      </c>
      <c r="D8" s="20" t="inlineStr">
        <is>
          <t>How it is worked out</t>
        </is>
      </c>
    </row>
    <row r="9" ht="18" customHeight="1">
      <c r="B9" s="24" t="inlineStr">
        <is>
          <t>Own work</t>
        </is>
      </c>
      <c r="C9" s="54">
        <f>Estimate!$V$68</f>
        <v>176830.75</v>
      </c>
      <c r="D9" s="55" t="inlineStr">
        <is>
          <t>The lines on the Estimate tab, apart from any marked Excluded.</t>
        </is>
      </c>
    </row>
    <row r="10" ht="18" customHeight="1">
      <c r="B10" s="56" t="inlineStr">
        <is>
          <t>Labour</t>
        </is>
      </c>
      <c r="C10" s="43">
        <f>Estimate!$S$68</f>
        <v>38922.1</v>
      </c>
      <c r="D10" s="55" t="inlineStr"/>
    </row>
    <row r="11" ht="18" customHeight="1">
      <c r="B11" s="56" t="inlineStr">
        <is>
          <t>Materials</t>
        </is>
      </c>
      <c r="C11" s="43">
        <f>Estimate!$T$68</f>
        <v>120033.75</v>
      </c>
      <c r="D11" s="55" t="inlineStr"/>
    </row>
    <row r="12" ht="18" customHeight="1">
      <c r="B12" s="56" t="inlineStr">
        <is>
          <t>Plant</t>
        </is>
      </c>
      <c r="C12" s="43">
        <f>Estimate!$U$68</f>
        <v>17874.9</v>
      </c>
      <c r="D12" s="55" t="inlineStr"/>
    </row>
    <row r="13" ht="18" customHeight="1">
      <c r="B13" s="15" t="inlineStr">
        <is>
          <t>Subcontractors</t>
        </is>
      </c>
      <c r="C13" s="57">
        <f>Subcontractors!$T$16</f>
        <v>15735</v>
      </c>
      <c r="D13" s="55" t="inlineStr">
        <is>
          <t>The quote carried for each package, or its allowance.</t>
        </is>
      </c>
    </row>
    <row r="14" ht="18" customHeight="1">
      <c r="B14" s="15" t="inlineStr">
        <is>
          <t>Preliminaries</t>
        </is>
      </c>
      <c r="C14" s="57">
        <f>Preliminaries!$I$20</f>
        <v>23300</v>
      </c>
      <c r="D14" s="55" t="inlineStr">
        <is>
          <t>From the Preliminaries tab.</t>
        </is>
      </c>
    </row>
    <row r="15" ht="18" customHeight="1">
      <c r="B15" s="24" t="inlineStr">
        <is>
          <t>Direct cost</t>
        </is>
      </c>
      <c r="C15" s="54">
        <f>ROUND(C9+C13+C14,2)</f>
        <v>215865.75</v>
      </c>
      <c r="D15" s="55" t="inlineStr">
        <is>
          <t>Own work + subcontractors + preliminaries</t>
        </is>
      </c>
    </row>
    <row r="16" ht="18" customHeight="1">
      <c r="B16" s="15" t="inlineStr">
        <is>
          <t>Contingency</t>
        </is>
      </c>
      <c r="C16" s="57">
        <f>ROUND(C15*Rates!$C$35/100,2)</f>
        <v>8634.63</v>
      </c>
      <c r="D16" s="55" t="str">
        <f>Rates!$C$35&amp;"% of direct cost"</f>
        <v>4% of direct cost</v>
      </c>
    </row>
    <row r="17" ht="18" customHeight="1">
      <c r="B17" s="15" t="inlineStr">
        <is>
          <t>Overheads and profit</t>
        </is>
      </c>
      <c r="C17" s="57">
        <f>ROUND(ROUND(C15+C16,2)*Rates!$C$36/100,2)</f>
        <v>22450.04</v>
      </c>
      <c r="D17" s="55" t="str">
        <f>Rates!$C$36&amp;"% of direct cost plus contingency"</f>
        <v>10% of direct cost plus contingency</v>
      </c>
    </row>
    <row r="18" ht="18" customHeight="1">
      <c r="B18" s="24" t="inlineStr">
        <is>
          <t>Subtotal before the bond</t>
        </is>
      </c>
      <c r="C18" s="54">
        <f>ROUND(C15+C16+C17,2)</f>
        <v>246950.42</v>
      </c>
      <c r="D18" s="55" t="inlineStr">
        <is>
          <t>Direct cost + contingency + overheads and profit.</t>
        </is>
      </c>
    </row>
    <row r="19" ht="18" customHeight="1">
      <c r="B19" s="15" t="inlineStr">
        <is>
          <t>Bond</t>
        </is>
      </c>
      <c r="C19" s="57">
        <f>ROUND(C18*Rates!$C$37/100,2)</f>
        <v>2469.5</v>
      </c>
      <c r="D19" s="55" t="str">
        <f>Rates!$C$37&amp;"% of the subtotal"</f>
        <v>1% of the subtotal</v>
      </c>
    </row>
    <row r="20" ht="18" customHeight="1">
      <c r="B20" s="15" t="inlineStr">
        <is>
          <t>Insurance</t>
        </is>
      </c>
      <c r="C20" s="57">
        <f>ROUND(C18*Rates!$C$38/100,2)</f>
        <v>1234.75</v>
      </c>
      <c r="D20" s="55" t="str">
        <f>Rates!$C$38&amp;"% of the subtotal"</f>
        <v>0.5% of the subtotal</v>
      </c>
    </row>
    <row r="21" ht="18" customHeight="1">
      <c r="B21" s="58" t="inlineStr">
        <is>
          <t>Tender total</t>
        </is>
      </c>
      <c r="C21" s="59">
        <f>ROUND(C18+C19+C20,2)</f>
        <v>250654.67</v>
      </c>
      <c r="D21" s="60" t="inlineStr">
        <is>
          <t>The price you tender, before VAT.</t>
        </is>
      </c>
    </row>
    <row r="22" ht="18" customHeight="1">
      <c r="B22" s="53" t="inlineStr">
        <is>
          <t>VAT, for reference</t>
        </is>
      </c>
      <c r="C22" s="43">
        <f>ROUND(C21*Rates!$C$39/100,2)</f>
        <v>50130.93</v>
      </c>
      <c r="D22" s="55" t="str">
        <f>Rates!$C$39&amp;"%, shown separately and not part of the tender total"</f>
        <v>20%, shown separately and not part of the tender total</v>
      </c>
    </row>
    <row r="23" ht="18" customHeight="1">
      <c r="B23" s="53" t="inlineStr">
        <is>
          <t>Tender total including VAT</t>
        </is>
      </c>
      <c r="C23" s="43">
        <f>ROUND(C21+C22,2)</f>
        <v>300785.6</v>
      </c>
      <c r="D23" s="55" t="inlineStr">
        <is>
          <t>For reference.</t>
        </is>
      </c>
    </row>
    <row r="24"/>
    <row r="25">
      <c r="B25" s="53" t="inlineStr">
        <is>
          <t>Left out of the tender (Excluded lines)</t>
        </is>
      </c>
      <c r="C25" s="43">
        <f>Estimate!$V$69</f>
        <v>4695.4</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tender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Quotation</t>
        </is>
      </c>
      <c r="C2" s="63" t="n"/>
      <c r="D2" s="64" t="n"/>
    </row>
    <row r="3">
      <c r="B3" s="14" t="inlineStr">
        <is>
          <t>Date</t>
        </is>
      </c>
      <c r="C3" s="65" t="n">
        <v>46367</v>
      </c>
      <c r="D3" s="64" t="n"/>
    </row>
    <row r="4">
      <c r="B4" s="14" t="inlineStr">
        <is>
          <t>Valid for (days)</t>
        </is>
      </c>
      <c r="C4" s="66" t="n">
        <v>30</v>
      </c>
      <c r="D4" s="64" t="n"/>
    </row>
    <row r="5">
      <c r="B5" s="14" t="inlineStr">
        <is>
          <t>Valid until</t>
        </is>
      </c>
      <c r="C5" s="67">
        <f>IF(OR($C$3="",$C$4=""),"",$C$3+$C$4)</f>
        <v>46397</v>
      </c>
      <c r="D5" s="64" t="n"/>
    </row>
    <row r="6">
      <c r="B6" s="14" t="inlineStr">
        <is>
          <t>Reference</t>
        </is>
      </c>
      <c r="C6" s="68" t="inlineStr">
        <is>
          <t>Q-0001</t>
        </is>
      </c>
      <c r="D6" s="64" t="n"/>
    </row>
    <row r="7"/>
    <row r="8" ht="20" customHeight="1">
      <c r="B8" s="4" t="inlineStr">
        <is>
          <t>From</t>
        </is>
      </c>
      <c r="C8" s="5" t="n"/>
      <c r="D8" s="5" t="n"/>
    </row>
    <row r="9">
      <c r="B9" s="14" t="inlineStr">
        <is>
          <t>Your business</t>
        </is>
      </c>
      <c r="C9" s="68" t="inlineStr">
        <is>
          <t>Sample Drainage and Utilities Ltd</t>
        </is>
      </c>
    </row>
    <row r="10">
      <c r="B10" s="14" t="inlineStr">
        <is>
          <t>Contact</t>
        </is>
      </c>
      <c r="C10" s="68" t="inlineStr">
        <is>
          <t>Name, phone and email</t>
        </is>
      </c>
    </row>
    <row r="11" ht="30" customHeight="1">
      <c r="B11" s="14" t="inlineStr">
        <is>
          <t>Address</t>
        </is>
      </c>
      <c r="C11" s="68" t="inlineStr">
        <is>
          <t>Street, town, postcode</t>
        </is>
      </c>
    </row>
    <row r="12"/>
    <row r="13" ht="20" customHeight="1">
      <c r="B13" s="4" t="inlineStr">
        <is>
          <t>To</t>
        </is>
      </c>
      <c r="C13" s="5" t="n"/>
      <c r="D13" s="5" t="n"/>
    </row>
    <row r="14">
      <c r="B14" s="14" t="inlineStr">
        <is>
          <t>Customer</t>
        </is>
      </c>
      <c r="C14" s="68" t="inlineStr">
        <is>
          <t>Sample Customer</t>
        </is>
      </c>
    </row>
    <row r="15" ht="30" customHeight="1">
      <c r="B15" s="14" t="inlineStr">
        <is>
          <t>Address</t>
        </is>
      </c>
      <c r="C15" s="68" t="inlineStr">
        <is>
          <t>Street, town, postcode</t>
        </is>
      </c>
    </row>
    <row r="16"/>
    <row r="17" ht="20" customHeight="1">
      <c r="B17" s="4" t="inlineStr">
        <is>
          <t>Job</t>
        </is>
      </c>
      <c r="C17" s="5" t="n"/>
      <c r="D17" s="5" t="n"/>
    </row>
    <row r="18">
      <c r="B18" s="14" t="inlineStr">
        <is>
          <t>Job</t>
        </is>
      </c>
      <c r="C18" s="69" t="str">
        <f>IF(Rates!$C$6="","",Rates!$C$6)</f>
        <v>Housing phase, drainage and water (example)</v>
      </c>
    </row>
    <row r="19">
      <c r="B19" s="14" t="inlineStr">
        <is>
          <t>Location</t>
        </is>
      </c>
      <c r="C19" s="5" t="str">
        <f>IF(Rates!$C$7="","",Rates!$C$7)</f>
        <v>Bicester, Oxfordshire</v>
      </c>
    </row>
    <row r="20">
      <c r="B20" s="14" t="inlineStr">
        <is>
          <t>Expected length</t>
        </is>
      </c>
      <c r="C20" s="5" t="str">
        <f>IF(Rates!$C$9="","",Rates!$C$9&amp;" weeks")</f>
        <v>7 weeks</v>
      </c>
    </row>
    <row r="21"/>
    <row r="22" ht="20" customHeight="1">
      <c r="B22" s="4" t="inlineStr">
        <is>
          <t>Scope of work</t>
        </is>
      </c>
      <c r="C22" s="5" t="n"/>
      <c r="D22" s="5" t="n"/>
    </row>
    <row r="23" ht="72" customHeight="1">
      <c r="C23" s="66" t="inlineStr">
        <is>
          <t>The drainage and utilities work listed in our estimate, including materials, labour and plant. Work areas left clean and tidy at the end of each day.</t>
        </is>
      </c>
      <c r="D23" s="70" t="n"/>
    </row>
    <row r="24"/>
    <row r="25" ht="20" customHeight="1">
      <c r="B25" s="4" t="inlineStr">
        <is>
          <t>Not included</t>
        </is>
      </c>
      <c r="C25" s="5" t="n"/>
      <c r="D25" s="5" t="n"/>
    </row>
    <row r="26" ht="48" customHeight="1">
      <c r="C26" s="66" t="inlineStr">
        <is>
          <t>Anything not listed above. Work by other trades, permits and fees, unless stated above.</t>
        </is>
      </c>
      <c r="D26" s="70" t="n"/>
    </row>
    <row r="27"/>
    <row r="28" ht="20" customHeight="1">
      <c r="B28" s="4" t="inlineStr">
        <is>
          <t>Price</t>
        </is>
      </c>
      <c r="C28" s="5" t="n"/>
      <c r="D28" s="5" t="n"/>
    </row>
    <row r="29" ht="6" customHeight="1"/>
    <row r="30"/>
    <row r="31" ht="28" customHeight="1">
      <c r="B31" s="71" t="inlineStr">
        <is>
          <t>Price</t>
        </is>
      </c>
      <c r="C31" s="72" t="n"/>
      <c r="D31" s="73">
        <f>'Tender summary'!$C$21</f>
        <v>250654.67</v>
      </c>
    </row>
    <row r="32">
      <c r="B32" s="53" t="str">
        <f>IF(N(Rates!$C$39)=0,"VAT is not included","VAT at "&amp;Rates!$C$39&amp;"%")</f>
        <v>VAT at 20%</v>
      </c>
      <c r="D32" s="74">
        <f>IF(N(Rates!$C$39)=0,"",'Tender summary'!$C$22)</f>
        <v>50130.93</v>
      </c>
    </row>
    <row r="33">
      <c r="B33" s="24" t="str">
        <f>IF(N(Rates!$C$39)=0,"","Total including VAT")</f>
        <v>Total including VAT</v>
      </c>
      <c r="D33" s="75">
        <f>IF(N(Rates!$C$39)=0,"",'Tender summary'!$C$23)</f>
        <v>300785.6</v>
      </c>
    </row>
    <row r="34"/>
    <row r="35" ht="20" customHeight="1">
      <c r="B35" s="4" t="inlineStr">
        <is>
          <t>Terms</t>
        </is>
      </c>
      <c r="C35" s="5" t="n"/>
      <c r="D35" s="5" t="n"/>
    </row>
    <row r="36" ht="60" customHeight="1">
      <c r="C36" s="66" t="inlineStr">
        <is>
          <t>Payment: 30% on acceptance, the balance within 14 days of completion. This price holds until the date above. Changes to the scope are priced before the work starts.</t>
        </is>
      </c>
      <c r="D36" s="70" t="n"/>
    </row>
    <row r="37"/>
    <row r="38" ht="20" customHeight="1">
      <c r="B38" s="4" t="inlineStr">
        <is>
          <t>Acceptance</t>
        </is>
      </c>
      <c r="C38" s="5" t="n"/>
      <c r="D38" s="5" t="n"/>
    </row>
    <row r="39" ht="26" customHeight="1">
      <c r="B39" s="14" t="inlineStr">
        <is>
          <t>Signed for the customer</t>
        </is>
      </c>
      <c r="C39" s="76" t="n"/>
      <c r="D39" s="76" t="n"/>
    </row>
    <row r="40" ht="12" customHeight="1">
      <c r="C40" s="77" t="inlineStr">
        <is>
          <t>Name and signature</t>
        </is>
      </c>
      <c r="D40" s="77" t="inlineStr">
        <is>
          <t>Date</t>
        </is>
      </c>
    </row>
    <row r="41" ht="26" customHeight="1">
      <c r="B41" s="14" t="inlineStr">
        <is>
          <t>Signed for Sample Drainage and Utilities Ltd</t>
        </is>
      </c>
      <c r="C41" s="76" t="n"/>
      <c r="D41" s="76" t="n"/>
    </row>
    <row r="42" ht="12" customHeight="1">
      <c r="C42" s="77" t="inlineStr">
        <is>
          <t>Name and signature</t>
        </is>
      </c>
      <c r="D42" s="77" t="inlineStr">
        <is>
          <t>Date</t>
        </is>
      </c>
    </row>
    <row r="43"/>
    <row r="44">
      <c r="B44" s="78"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drainage and utilities,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01.100</t>
        </is>
      </c>
      <c r="C7" s="30" t="inlineStr">
        <is>
          <t>Site management</t>
        </is>
      </c>
      <c r="D7" s="30" t="inlineStr">
        <is>
          <t>wk</t>
        </is>
      </c>
    </row>
    <row r="8" ht="16.5" customHeight="1">
      <c r="B8" s="30" t="inlineStr">
        <is>
          <t>01.110</t>
        </is>
      </c>
      <c r="C8" s="30" t="inlineStr">
        <is>
          <t>Setting up and clearing the site</t>
        </is>
      </c>
      <c r="D8" s="30" t="inlineStr">
        <is>
          <t>item</t>
        </is>
      </c>
    </row>
    <row r="9" ht="16.5" customHeight="1">
      <c r="B9" s="30" t="inlineStr">
        <is>
          <t>01.120</t>
        </is>
      </c>
      <c r="C9" s="30" t="inlineStr">
        <is>
          <t>Site cabin and storage</t>
        </is>
      </c>
      <c r="D9" s="30" t="inlineStr">
        <is>
          <t>wk</t>
        </is>
      </c>
    </row>
    <row r="10" ht="16.5" customHeight="1">
      <c r="B10" s="30" t="inlineStr">
        <is>
          <t>01.130</t>
        </is>
      </c>
      <c r="C10" s="30" t="inlineStr">
        <is>
          <t>Temporary power and lighting</t>
        </is>
      </c>
      <c r="D10" s="30" t="inlineStr">
        <is>
          <t>wk</t>
        </is>
      </c>
    </row>
    <row r="11" ht="16.5" customHeight="1">
      <c r="B11" s="30" t="inlineStr">
        <is>
          <t>01.140</t>
        </is>
      </c>
      <c r="C11" s="30" t="inlineStr">
        <is>
          <t>Temporary heating and ventilation</t>
        </is>
      </c>
      <c r="D11" s="30" t="inlineStr">
        <is>
          <t>wk</t>
        </is>
      </c>
    </row>
    <row r="12" ht="16.5" customHeight="1">
      <c r="B12" s="30" t="inlineStr">
        <is>
          <t>01.150</t>
        </is>
      </c>
      <c r="C12" s="30" t="inlineStr">
        <is>
          <t>Welfare facilities</t>
        </is>
      </c>
      <c r="D12" s="30" t="inlineStr">
        <is>
          <t>wk</t>
        </is>
      </c>
    </row>
    <row r="13" ht="16.5" customHeight="1">
      <c r="B13" s="30" t="inlineStr">
        <is>
          <t>01.160</t>
        </is>
      </c>
      <c r="C13" s="30" t="inlineStr">
        <is>
          <t>Hoarding and signs</t>
        </is>
      </c>
      <c r="D13" s="30" t="inlineStr">
        <is>
          <t>item</t>
        </is>
      </c>
    </row>
    <row r="14" ht="16.5" customHeight="1">
      <c r="B14" s="30" t="inlineStr">
        <is>
          <t>01.170</t>
        </is>
      </c>
      <c r="C14" s="30" t="inlineStr">
        <is>
          <t>Health and safety plan and training</t>
        </is>
      </c>
      <c r="D14" s="30" t="inlineStr">
        <is>
          <t>item</t>
        </is>
      </c>
    </row>
    <row r="15" ht="16.5" customHeight="1">
      <c r="B15" s="30" t="inlineStr">
        <is>
          <t>01.180</t>
        </is>
      </c>
      <c r="C15" s="30" t="inlineStr">
        <is>
          <t>Protective gear and first aid</t>
        </is>
      </c>
      <c r="D15" s="30" t="inlineStr">
        <is>
          <t>item</t>
        </is>
      </c>
    </row>
    <row r="16" ht="16.5" customHeight="1">
      <c r="B16" s="30" t="inlineStr">
        <is>
          <t>01.190</t>
        </is>
      </c>
      <c r="C16" s="30" t="inlineStr">
        <is>
          <t>Permits and fees</t>
        </is>
      </c>
      <c r="D16" s="30" t="inlineStr">
        <is>
          <t>item</t>
        </is>
      </c>
    </row>
    <row r="17" ht="16.5" customHeight="1">
      <c r="B17" s="30" t="inlineStr">
        <is>
          <t>01.200</t>
        </is>
      </c>
      <c r="C17" s="30" t="inlineStr">
        <is>
          <t>Insurance and bonds</t>
        </is>
      </c>
      <c r="D17" s="30" t="inlineStr">
        <is>
          <t>item</t>
        </is>
      </c>
    </row>
    <row r="18" ht="16.5" customHeight="1">
      <c r="B18" s="30" t="inlineStr">
        <is>
          <t>01.210</t>
        </is>
      </c>
      <c r="C18" s="30" t="inlineStr">
        <is>
          <t>Setting out and surveying</t>
        </is>
      </c>
      <c r="D18" s="30" t="inlineStr">
        <is>
          <t>day</t>
        </is>
      </c>
    </row>
    <row r="19" ht="16.5" customHeight="1">
      <c r="B19" s="30" t="inlineStr">
        <is>
          <t>01.220</t>
        </is>
      </c>
      <c r="C19" s="30" t="inlineStr">
        <is>
          <t>Scaffold and access equipment</t>
        </is>
      </c>
      <c r="D19" s="30" t="inlineStr">
        <is>
          <t>wk</t>
        </is>
      </c>
    </row>
    <row r="20" ht="16.5" customHeight="1">
      <c r="B20" s="30" t="inlineStr">
        <is>
          <t>01.230</t>
        </is>
      </c>
      <c r="C20" s="30" t="inlineStr">
        <is>
          <t>Crane and deliveries</t>
        </is>
      </c>
      <c r="D20" s="30" t="inlineStr">
        <is>
          <t>day</t>
        </is>
      </c>
    </row>
    <row r="21" ht="16.5" customHeight="1">
      <c r="B21" s="30" t="inlineStr">
        <is>
          <t>01.240</t>
        </is>
      </c>
      <c r="C21" s="30" t="inlineStr">
        <is>
          <t>Skips and waste removal</t>
        </is>
      </c>
      <c r="D21" s="30" t="inlineStr">
        <is>
          <t>nr</t>
        </is>
      </c>
    </row>
    <row r="22" ht="16.5" customHeight="1">
      <c r="B22" s="30" t="inlineStr">
        <is>
          <t>01.250</t>
        </is>
      </c>
      <c r="C22" s="30" t="inlineStr">
        <is>
          <t>Daily cleaning</t>
        </is>
      </c>
      <c r="D22" s="30" t="inlineStr">
        <is>
          <t>wk</t>
        </is>
      </c>
    </row>
    <row r="23" ht="16.5" customHeight="1">
      <c r="B23" s="30" t="inlineStr">
        <is>
          <t>01.260</t>
        </is>
      </c>
      <c r="C23" s="30" t="inlineStr">
        <is>
          <t>Final clean</t>
        </is>
      </c>
      <c r="D23" s="30" t="inlineStr">
        <is>
          <t>item</t>
        </is>
      </c>
    </row>
    <row r="24" ht="16.5" customHeight="1">
      <c r="B24" s="30" t="inlineStr">
        <is>
          <t>01.270</t>
        </is>
      </c>
      <c r="C24" s="30" t="inlineStr">
        <is>
          <t>Protection of existing floors and finishes</t>
        </is>
      </c>
      <c r="D24" s="30" t="inlineStr">
        <is>
          <t>item</t>
        </is>
      </c>
    </row>
    <row r="25" ht="16.5" customHeight="1">
      <c r="B25" s="30" t="inlineStr">
        <is>
          <t>01.280</t>
        </is>
      </c>
      <c r="C25" s="30" t="inlineStr">
        <is>
          <t>Site vehicles and fuel</t>
        </is>
      </c>
      <c r="D25" s="30" t="inlineStr">
        <is>
          <t>item</t>
        </is>
      </c>
    </row>
    <row r="26" ht="16.5" customHeight="1">
      <c r="B26" s="30" t="inlineStr">
        <is>
          <t>01.290</t>
        </is>
      </c>
      <c r="C26" s="30" t="inlineStr">
        <is>
          <t>Small tools and supplies</t>
        </is>
      </c>
      <c r="D26" s="30" t="inlineStr">
        <is>
          <t>item</t>
        </is>
      </c>
    </row>
    <row r="27" ht="16.5" customHeight="1">
      <c r="B27" s="30" t="inlineStr">
        <is>
          <t>01.300</t>
        </is>
      </c>
      <c r="C27" s="30" t="inlineStr">
        <is>
          <t>Drawings and samples</t>
        </is>
      </c>
      <c r="D27" s="30" t="inlineStr">
        <is>
          <t>item</t>
        </is>
      </c>
    </row>
    <row r="28" ht="16.5" customHeight="1">
      <c r="B28" s="30" t="inlineStr">
        <is>
          <t>01.310</t>
        </is>
      </c>
      <c r="C28" s="30" t="inlineStr">
        <is>
          <t>Testing and inspections</t>
        </is>
      </c>
      <c r="D28" s="30" t="inlineStr">
        <is>
          <t>item</t>
        </is>
      </c>
    </row>
    <row r="29" ht="16.5" customHeight="1">
      <c r="B29" s="30" t="inlineStr">
        <is>
          <t>01.320</t>
        </is>
      </c>
      <c r="C29" s="30" t="inlineStr">
        <is>
          <t>Handover documents and manuals</t>
        </is>
      </c>
      <c r="D29" s="30" t="inlineStr">
        <is>
          <t>item</t>
        </is>
      </c>
    </row>
    <row r="30" ht="16.5" customHeight="1">
      <c r="B30" s="30" t="inlineStr">
        <is>
          <t>01.330</t>
        </is>
      </c>
      <c r="C30" s="30" t="inlineStr">
        <is>
          <t>Defects period and call backs</t>
        </is>
      </c>
      <c r="D30" s="30" t="inlineStr">
        <is>
          <t>item</t>
        </is>
      </c>
    </row>
    <row r="31" ht="16.5" customHeight="1">
      <c r="B31" s="30" t="inlineStr">
        <is>
          <t>01.340</t>
        </is>
      </c>
      <c r="C31" s="30" t="inlineStr">
        <is>
          <t>Provisional sums</t>
        </is>
      </c>
      <c r="D31" s="30" t="inlineStr">
        <is>
          <t>item</t>
        </is>
      </c>
    </row>
    <row r="32" ht="16.5" customHeight="1">
      <c r="B32" s="30" t="inlineStr">
        <is>
          <t>01.350</t>
        </is>
      </c>
      <c r="C32" s="30" t="inlineStr">
        <is>
          <t>Overtime and premium time</t>
        </is>
      </c>
      <c r="D32" s="30" t="inlineStr">
        <is>
          <t>hr</t>
        </is>
      </c>
    </row>
    <row r="33" ht="16.5" customHeight="1">
      <c r="B33" s="30" t="inlineStr">
        <is>
          <t>01.360</t>
        </is>
      </c>
      <c r="C33" s="30" t="inlineStr">
        <is>
          <t>Weather protection</t>
        </is>
      </c>
      <c r="D33" s="30" t="inlineStr">
        <is>
          <t>item</t>
        </is>
      </c>
    </row>
    <row r="34" ht="16.5" customHeight="1">
      <c r="B34" s="30" t="inlineStr">
        <is>
          <t>01.370</t>
        </is>
      </c>
      <c r="C34" s="30" t="inlineStr">
        <is>
          <t>Meetings and site paperwork</t>
        </is>
      </c>
      <c r="D34" s="30" t="inlineStr">
        <is>
          <t>hr</t>
        </is>
      </c>
    </row>
    <row r="35" ht="16.5" customHeight="1">
      <c r="B35" s="30" t="inlineStr">
        <is>
          <t>33.100</t>
        </is>
      </c>
      <c r="C35" s="30" t="inlineStr">
        <is>
          <t>Water main pipe</t>
        </is>
      </c>
      <c r="D35" s="30" t="inlineStr">
        <is>
          <t>m</t>
        </is>
      </c>
    </row>
    <row r="36" ht="16.5" customHeight="1">
      <c r="B36" s="30" t="inlineStr">
        <is>
          <t>33.110</t>
        </is>
      </c>
      <c r="C36" s="30" t="inlineStr">
        <is>
          <t>Foul sewer pipe</t>
        </is>
      </c>
      <c r="D36" s="30" t="inlineStr">
        <is>
          <t>m</t>
        </is>
      </c>
    </row>
    <row r="37" ht="16.5" customHeight="1">
      <c r="B37" s="30" t="inlineStr">
        <is>
          <t>33.120</t>
        </is>
      </c>
      <c r="C37" s="30" t="inlineStr">
        <is>
          <t>Surface water drain pipe</t>
        </is>
      </c>
      <c r="D37" s="30" t="inlineStr">
        <is>
          <t>m</t>
        </is>
      </c>
    </row>
    <row r="38" ht="16.5" customHeight="1">
      <c r="B38" s="30" t="inlineStr">
        <is>
          <t>33.130</t>
        </is>
      </c>
      <c r="C38" s="30" t="inlineStr">
        <is>
          <t>Manholes and chambers</t>
        </is>
      </c>
      <c r="D38" s="30" t="inlineStr">
        <is>
          <t>nr</t>
        </is>
      </c>
    </row>
    <row r="39" ht="16.5" customHeight="1">
      <c r="B39" s="30" t="inlineStr">
        <is>
          <t>33.140</t>
        </is>
      </c>
      <c r="C39" s="30" t="inlineStr">
        <is>
          <t>Gullies and inlets</t>
        </is>
      </c>
      <c r="D39" s="30" t="inlineStr">
        <is>
          <t>nr</t>
        </is>
      </c>
    </row>
    <row r="40" ht="16.5" customHeight="1">
      <c r="B40" s="30" t="inlineStr">
        <is>
          <t>33.150</t>
        </is>
      </c>
      <c r="C40" s="30" t="inlineStr">
        <is>
          <t>Water service connections</t>
        </is>
      </c>
      <c r="D40" s="30" t="inlineStr">
        <is>
          <t>nr</t>
        </is>
      </c>
    </row>
    <row r="41" ht="16.5" customHeight="1">
      <c r="B41" s="30" t="inlineStr">
        <is>
          <t>33.160</t>
        </is>
      </c>
      <c r="C41" s="30" t="inlineStr">
        <is>
          <t>Sewer connections</t>
        </is>
      </c>
      <c r="D41" s="30" t="inlineStr">
        <is>
          <t>nr</t>
        </is>
      </c>
    </row>
    <row r="42" ht="16.5" customHeight="1">
      <c r="B42" s="30" t="inlineStr">
        <is>
          <t>33.170</t>
        </is>
      </c>
      <c r="C42" s="30" t="inlineStr">
        <is>
          <t>Hydrants and valves</t>
        </is>
      </c>
      <c r="D42" s="30" t="inlineStr">
        <is>
          <t>nr</t>
        </is>
      </c>
    </row>
    <row r="43" ht="16.5" customHeight="1">
      <c r="B43" s="30" t="inlineStr">
        <is>
          <t>33.180</t>
        </is>
      </c>
      <c r="C43" s="30" t="inlineStr">
        <is>
          <t>Pipe fittings</t>
        </is>
      </c>
      <c r="D43" s="30" t="inlineStr">
        <is>
          <t>nr</t>
        </is>
      </c>
    </row>
    <row r="44" ht="16.5" customHeight="1">
      <c r="B44" s="30" t="inlineStr">
        <is>
          <t>33.190</t>
        </is>
      </c>
      <c r="C44" s="30" t="inlineStr">
        <is>
          <t>Pipe bedding and cover</t>
        </is>
      </c>
      <c r="D44" s="30" t="inlineStr">
        <is>
          <t>m</t>
        </is>
      </c>
    </row>
    <row r="45" ht="16.5" customHeight="1">
      <c r="B45" s="30" t="inlineStr">
        <is>
          <t>33.200</t>
        </is>
      </c>
      <c r="C45" s="30" t="inlineStr">
        <is>
          <t>Trench backfill and compaction</t>
        </is>
      </c>
      <c r="D45" s="30" t="inlineStr">
        <is>
          <t>m</t>
        </is>
      </c>
    </row>
    <row r="46" ht="16.5" customHeight="1">
      <c r="B46" s="30" t="inlineStr">
        <is>
          <t>33.210</t>
        </is>
      </c>
      <c r="C46" s="30" t="inlineStr">
        <is>
          <t>Duct banks for power and telecom</t>
        </is>
      </c>
      <c r="D46" s="30" t="inlineStr">
        <is>
          <t>m</t>
        </is>
      </c>
    </row>
    <row r="47" ht="16.5" customHeight="1">
      <c r="B47" s="30" t="inlineStr">
        <is>
          <t>33.220</t>
        </is>
      </c>
      <c r="C47" s="30" t="inlineStr">
        <is>
          <t>Thrust blocks</t>
        </is>
      </c>
      <c r="D47" s="30" t="inlineStr">
        <is>
          <t>nr</t>
        </is>
      </c>
    </row>
    <row r="48" ht="16.5" customHeight="1">
      <c r="B48" s="30" t="inlineStr">
        <is>
          <t>33.230</t>
        </is>
      </c>
      <c r="C48" s="30" t="inlineStr">
        <is>
          <t>Pressure testing and disinfection</t>
        </is>
      </c>
      <c r="D48" s="30" t="inlineStr">
        <is>
          <t>item</t>
        </is>
      </c>
    </row>
    <row r="49" ht="16.5" customHeight="1">
      <c r="B49" s="30" t="inlineStr">
        <is>
          <t>33.240</t>
        </is>
      </c>
      <c r="C49" s="30" t="inlineStr">
        <is>
          <t>Camera inspection of pipes</t>
        </is>
      </c>
      <c r="D49" s="30" t="inlineStr">
        <is>
          <t>item</t>
        </is>
      </c>
    </row>
    <row r="50" ht="16.5" customHeight="1">
      <c r="B50" s="30" t="inlineStr">
        <is>
          <t>33.250</t>
        </is>
      </c>
      <c r="C50" s="30" t="inlineStr">
        <is>
          <t>Road reinstatement</t>
        </is>
      </c>
      <c r="D50" s="30" t="inlineStr">
        <is>
          <t>m2</t>
        </is>
      </c>
    </row>
    <row r="51" ht="16.5" customHeight="1">
      <c r="B51" s="30" t="inlineStr">
        <is>
          <t>33.260</t>
        </is>
      </c>
      <c r="C51" s="30" t="inlineStr">
        <is>
          <t>Tracer wire and warning tape</t>
        </is>
      </c>
      <c r="D51" s="30" t="inlineStr">
        <is>
          <t>m</t>
        </is>
      </c>
    </row>
    <row r="52" ht="16.5" customHeight="1">
      <c r="B52" s="30" t="inlineStr">
        <is>
          <t>33.270</t>
        </is>
      </c>
      <c r="C52" s="30" t="inlineStr">
        <is>
          <t>Tie ins to existing mains</t>
        </is>
      </c>
      <c r="D52" s="30" t="inlineStr">
        <is>
          <t>nr</t>
        </is>
      </c>
    </row>
    <row r="53" ht="16.5" customHeight="1">
      <c r="B53" s="30" t="inlineStr">
        <is>
          <t>33.280</t>
        </is>
      </c>
      <c r="C53" s="30" t="inlineStr">
        <is>
          <t>Bypass pumping</t>
        </is>
      </c>
      <c r="D53" s="30" t="inlineStr">
        <is>
          <t>wk</t>
        </is>
      </c>
    </row>
    <row r="54" ht="16.5" customHeight="1">
      <c r="B54" s="30" t="inlineStr">
        <is>
          <t>33.290</t>
        </is>
      </c>
      <c r="C54" s="30" t="inlineStr">
        <is>
          <t>Daywork</t>
        </is>
      </c>
      <c r="D54" s="30" t="inlineStr">
        <is>
          <t>hr</t>
        </is>
      </c>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79" t="inlineStr">
        <is>
          <t>Free to use for your own bids. Change it to suit your business. Please don't resell it or hand it out as your own list.</t>
        </is>
      </c>
    </row>
    <row r="79" ht="28" customHeight="1">
      <c r="B79" s="79"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Drainage and utilities estimate (United Kingdom, worked example)</dc:title>
  <dcterms:created xmlns:dcterms="http://purl.org/dc/terms/" xmlns:xsi="http://www.w3.org/2001/XMLSchema-instance" xsi:type="dcterms:W3CDTF">2026-10-29T06:02:57Z</dcterms:created>
  <dcterms:modified xmlns:dcterms="http://purl.org/dc/terms/" xmlns:xsi="http://www.w3.org/2001/XMLSchema-instance" xsi:type="dcterms:W3CDTF">2026-10-29T06:02:57Z</dcterms:modified>
  <cp:keywords>estimating spreadsheet, free, Bidfident</cp:keywords>
</cp:coreProperties>
</file>