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6">
    <numFmt numFmtId="164" formatCode="yyyy-mm-dd"/>
    <numFmt numFmtId="165" formatCode="mm/dd/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demolition-and-abatement/demolition/?utm_source=spreadsheet&amp;utm_medium=excel&amp;utm_campaign=demolition-us&amp;utm_content=brand&amp;v=0.1" TargetMode="External" Id="rId1"/><Relationship Type="http://schemas.openxmlformats.org/officeDocument/2006/relationships/hyperlink" Target="https://bidfident.com/us/for/demolition-and-abatement/demolition/?utm_source=spreadsheet&amp;utm_medium=excel&amp;utm_campaign=demolition-us&amp;utm_content=version&amp;v=0.1" TargetMode="External" Id="rId2"/><Relationship Type="http://schemas.openxmlformats.org/officeDocument/2006/relationships/hyperlink" Target="https://bidfident.com/app/?from=us.demolition&amp;utm_source=spreadsheet&amp;utm_medium=excel&amp;utm_campaign=demolition-us&amp;utm_content=start&amp;v=0.1" TargetMode="External" Id="rId3"/><Relationship Type="http://schemas.openxmlformats.org/officeDocument/2006/relationships/hyperlink" Target="https://bidfident.com/app/?from=us.demolition&amp;utm_source=spreadsheet&amp;utm_medium=excel&amp;utm_campaign=demolition-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demolition-and-abatement/demolition/?utm_source=spreadsheet&amp;utm_medium=excel&amp;utm_campaign=demolition-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demolition-and-abatement/demolition/?utm_source=spreadsheet&amp;utm_medium=excel&amp;utm_campaign=demolition-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demolition-and-abatement/demolition/?utm_source=spreadsheet&amp;utm_medium=excel&amp;utm_campaign=demolition-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demolition-and-abatement/demolition/?utm_source=spreadsheet&amp;utm_medium=excel&amp;utm_campaign=demolition-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demolition-and-abatement/demolition/?utm_source=spreadsheet&amp;utm_medium=excel&amp;utm_campaign=demolition-us&amp;utm_content=brand&amp;v=0.1" TargetMode="External" Id="rId1"/><Relationship Type="http://schemas.openxmlformats.org/officeDocument/2006/relationships/hyperlink" Target="https://bidfident.com/app/?from=us.demolition&amp;utm_source=spreadsheet&amp;utm_medium=excel&amp;utm_campaign=demolition-us&amp;utm_content=summary&amp;v=0.1" TargetMode="External" Id="rId2"/><Relationship Type="http://schemas.openxmlformats.org/officeDocument/2006/relationships/hyperlink" Target="https://bidfident.com/app/?from=us.demolition&amp;utm_source=spreadsheet&amp;utm_medium=excel&amp;utm_campaign=demolition-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demolition-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demolition-and-abatement/demolition/?utm_source=spreadsheet&amp;utm_medium=excel&amp;utm_campaign=demolition-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Demolition: estimate</t>
        </is>
      </c>
    </row>
    <row r="3">
      <c r="B3" s="3" t="inlineStr">
        <is>
          <t>United States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demolition. Price your work line by line, compare subcontractor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interior demo and annex teardown at an office building, Dayton, OH.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Office interior demo and annex teardown (example)</t>
        </is>
      </c>
      <c r="D6" s="17" t="inlineStr">
        <is>
          <t>Shown on the Bid summary tab.</t>
        </is>
      </c>
    </row>
    <row r="7" ht="16.5" customHeight="1">
      <c r="B7" s="15" t="inlineStr">
        <is>
          <t>Location</t>
        </is>
      </c>
      <c r="C7" s="16" t="inlineStr">
        <is>
          <t>Dayton, OH</t>
        </is>
      </c>
      <c r="D7" s="17" t="inlineStr"/>
    </row>
    <row r="8" ht="16.5" customHeight="1">
      <c r="B8" s="15" t="inlineStr">
        <is>
          <t>Bid due</t>
        </is>
      </c>
      <c r="C8" s="18" t="n">
        <v>46358</v>
      </c>
      <c r="D8" s="17" t="inlineStr"/>
    </row>
    <row r="9" ht="16.5" customHeight="1">
      <c r="B9" s="15" t="inlineStr">
        <is>
          <t>Job length (weeks)</t>
        </is>
      </c>
      <c r="C9" s="19" t="n">
        <v>7</v>
      </c>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Demolition laborer</t>
        </is>
      </c>
      <c r="C13" s="23" t="n">
        <v>45</v>
      </c>
    </row>
    <row r="14" ht="16.5" customHeight="1">
      <c r="B14" s="22" t="inlineStr">
        <is>
          <t>Equipment operator</t>
        </is>
      </c>
      <c r="C14" s="23" t="n">
        <v>68</v>
      </c>
    </row>
    <row r="15" ht="16.5" customHeight="1">
      <c r="B15" s="22" t="inlineStr">
        <is>
          <t>Burner</t>
        </is>
      </c>
      <c r="C15" s="23" t="n">
        <v>58</v>
      </c>
    </row>
    <row r="16" ht="16.5" customHeight="1">
      <c r="B16" s="22" t="inlineStr">
        <is>
          <t>Carpenter</t>
        </is>
      </c>
      <c r="C16" s="23" t="n">
        <v>62</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50</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Excavator with shears</t>
        </is>
      </c>
      <c r="C27" s="23" t="n">
        <v>175</v>
      </c>
    </row>
    <row r="28" ht="16.5" customHeight="1">
      <c r="B28" s="22" t="inlineStr">
        <is>
          <t>Floor grinder</t>
        </is>
      </c>
      <c r="C28" s="23" t="n">
        <v>30</v>
      </c>
    </row>
    <row r="29" ht="16.5" customHeight="1">
      <c r="B29" s="22" t="inlineStr">
        <is>
          <t>Skid steer</t>
        </is>
      </c>
      <c r="C29" s="23" t="n">
        <v>65</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7</v>
      </c>
      <c r="D35" s="1" t="inlineStr">
        <is>
          <t>Added to the direct cost, for what you cannot yet see.</t>
        </is>
      </c>
    </row>
    <row r="36" ht="16.5" customHeight="1">
      <c r="B36" s="15" t="inlineStr">
        <is>
          <t>Fee (%)</t>
        </is>
      </c>
      <c r="C36" s="26" t="n">
        <v>12</v>
      </c>
      <c r="D36" s="1" t="inlineStr">
        <is>
          <t>Your profit, added to the direct cost plus contingency.</t>
        </is>
      </c>
    </row>
    <row r="37" ht="16.5" customHeight="1">
      <c r="B37" s="15" t="inlineStr">
        <is>
          <t>Bond (%)</t>
        </is>
      </c>
      <c r="C37" s="26" t="n">
        <v>1.5</v>
      </c>
      <c r="D37" s="1" t="inlineStr">
        <is>
          <t>Taken from the subtotal. Leave at 0 if you are not bonded.</t>
        </is>
      </c>
    </row>
    <row r="38" ht="16.5" customHeight="1">
      <c r="B38" s="15" t="inlineStr">
        <is>
          <t>Insurance (%)</t>
        </is>
      </c>
      <c r="C38" s="26" t="n">
        <v>1</v>
      </c>
      <c r="D38" s="1" t="inlineStr">
        <is>
          <t>Taken from the same subtotal as bond, not from each other.</t>
        </is>
      </c>
    </row>
    <row r="39" ht="16.5" customHeight="1">
      <c r="B39" s="15" t="inlineStr">
        <is>
          <t>Sales tax (%)</t>
        </is>
      </c>
      <c r="C39" s="26" t="n">
        <v>0</v>
      </c>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Demolition: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02 140</t>
        </is>
      </c>
      <c r="C7" s="22" t="inlineStr">
        <is>
          <t>Interior demo</t>
        </is>
      </c>
      <c r="D7" s="31" t="inlineStr">
        <is>
          <t>Remove ceilings, grid and tile</t>
        </is>
      </c>
      <c r="E7" s="22" t="n">
        <v>38750</v>
      </c>
      <c r="F7" s="22" t="inlineStr">
        <is>
          <t>SF</t>
        </is>
      </c>
      <c r="G7" s="22" t="inlineStr">
        <is>
          <t>Demolition laborer</t>
        </is>
      </c>
      <c r="H7" s="22" t="n">
        <v>0.0055</v>
      </c>
      <c r="I7" s="32" t="n"/>
      <c r="J7" s="32" t="n">
        <v>0</v>
      </c>
      <c r="K7" s="22" t="n">
        <v>0</v>
      </c>
      <c r="L7" s="22" t="n"/>
      <c r="M7" s="22" t="inlineStr">
        <is>
          <t>Level 1</t>
        </is>
      </c>
      <c r="N7" s="22" t="n"/>
      <c r="O7" s="22" t="n"/>
      <c r="P7" s="31" t="n"/>
      <c r="Q7" s="33">
        <f>IF($E7="","",$E7*$H7)</f>
        <v>213.125</v>
      </c>
      <c r="R7" s="33">
        <f>IF($E7="","",IF($I7&lt;&gt;"",$I7,IF($G7="",Rates!$C$23,IFERROR(INDEX(Rates!$C$13:$C$22,MATCH($G7,Rates!$B$13:$B$22,0)),Rates!$C$23))))</f>
        <v>45</v>
      </c>
      <c r="S7" s="33">
        <f>IF($E7="","",ROUND($Q7*$R7,2))</f>
        <v>9590.63</v>
      </c>
      <c r="T7" s="33">
        <f>IF($E7="","",ROUND($E7*$J7*(1+$K7/100),2))</f>
        <v>0</v>
      </c>
      <c r="U7" s="33">
        <f>IF($E7="","",ROUND(IF($N7&lt;&gt;"",$E7*$N7,$Q7)*IF($L7="",0,IFERROR(INDEX(Rates!$C$27:$C$32,MATCH($L7,Rates!$B$27:$B$32,0)),0)),2))</f>
        <v>0</v>
      </c>
      <c r="V7" s="33">
        <f>IF($E7="","",ROUND($S7+$T7+$U7,2))</f>
        <v>9590.63</v>
      </c>
      <c r="W7" s="33">
        <f>IF($E7="","",IF($E7=0,0,ROUND($V7/$E7,2)))</f>
        <v>0.25</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02 140</t>
        </is>
      </c>
      <c r="C8" s="36" t="inlineStr">
        <is>
          <t>Interior demo</t>
        </is>
      </c>
      <c r="D8" s="37" t="inlineStr">
        <is>
          <t>Remove partitions, metal stud and drywall</t>
        </is>
      </c>
      <c r="E8" s="36" t="n">
        <v>23700</v>
      </c>
      <c r="F8" s="36" t="inlineStr">
        <is>
          <t>SF</t>
        </is>
      </c>
      <c r="G8" s="36" t="inlineStr">
        <is>
          <t>Demolition laborer</t>
        </is>
      </c>
      <c r="H8" s="36" t="n">
        <v>0.008500000000000001</v>
      </c>
      <c r="I8" s="38" t="n"/>
      <c r="J8" s="38" t="n">
        <v>0</v>
      </c>
      <c r="K8" s="36" t="n">
        <v>0</v>
      </c>
      <c r="L8" s="36" t="n"/>
      <c r="M8" s="36" t="inlineStr">
        <is>
          <t>Level 1</t>
        </is>
      </c>
      <c r="N8" s="36" t="n"/>
      <c r="O8" s="36" t="n"/>
      <c r="P8" s="37" t="n"/>
      <c r="Q8" s="33">
        <f>IF($E8="","",$E8*$H8)</f>
        <v>201.45000000000002</v>
      </c>
      <c r="R8" s="33">
        <f>IF($E8="","",IF($I8&lt;&gt;"",$I8,IF($G8="",Rates!$C$23,IFERROR(INDEX(Rates!$C$13:$C$22,MATCH($G8,Rates!$B$13:$B$22,0)),Rates!$C$23))))</f>
        <v>45</v>
      </c>
      <c r="S8" s="33">
        <f>IF($E8="","",ROUND($Q8*$R8,2))</f>
        <v>9065.25</v>
      </c>
      <c r="T8" s="33">
        <f>IF($E8="","",ROUND($E8*$J8*(1+$K8/100),2))</f>
        <v>0</v>
      </c>
      <c r="U8" s="33">
        <f>IF($E8="","",ROUND(IF($N8&lt;&gt;"",$E8*$N8,$Q8)*IF($L8="",0,IFERROR(INDEX(Rates!$C$27:$C$32,MATCH($L8,Rates!$B$27:$B$32,0)),0)),2))</f>
        <v>0</v>
      </c>
      <c r="V8" s="33">
        <f>IF($E8="","",ROUND($S8+$T8+$U8,2))</f>
        <v>9065.25</v>
      </c>
      <c r="W8" s="33">
        <f>IF($E8="","",IF($E8=0,0,ROUND($V8/$E8,2)))</f>
        <v>0.38</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02 150</t>
        </is>
      </c>
      <c r="C9" s="22" t="inlineStr">
        <is>
          <t>Interior demo</t>
        </is>
      </c>
      <c r="D9" s="31" t="inlineStr">
        <is>
          <t>Remove flooring and grind adhesive</t>
        </is>
      </c>
      <c r="E9" s="22" t="n">
        <v>38750</v>
      </c>
      <c r="F9" s="22" t="inlineStr">
        <is>
          <t>SF</t>
        </is>
      </c>
      <c r="G9" s="22" t="inlineStr">
        <is>
          <t>Demolition laborer</t>
        </is>
      </c>
      <c r="H9" s="22" t="n">
        <v>0.0045</v>
      </c>
      <c r="I9" s="32" t="n"/>
      <c r="J9" s="32" t="n">
        <v>0</v>
      </c>
      <c r="K9" s="22" t="n">
        <v>0</v>
      </c>
      <c r="L9" s="22" t="inlineStr">
        <is>
          <t>Floor grinder</t>
        </is>
      </c>
      <c r="M9" s="22" t="inlineStr">
        <is>
          <t>Level 1</t>
        </is>
      </c>
      <c r="N9" s="22" t="n">
        <v>0.0019</v>
      </c>
      <c r="O9" s="22" t="n"/>
      <c r="P9" s="31" t="n"/>
      <c r="Q9" s="33">
        <f>IF($E9="","",$E9*$H9)</f>
        <v>174.375</v>
      </c>
      <c r="R9" s="33">
        <f>IF($E9="","",IF($I9&lt;&gt;"",$I9,IF($G9="",Rates!$C$23,IFERROR(INDEX(Rates!$C$13:$C$22,MATCH($G9,Rates!$B$13:$B$22,0)),Rates!$C$23))))</f>
        <v>45</v>
      </c>
      <c r="S9" s="33">
        <f>IF($E9="","",ROUND($Q9*$R9,2))</f>
        <v>7846.88</v>
      </c>
      <c r="T9" s="33">
        <f>IF($E9="","",ROUND($E9*$J9*(1+$K9/100),2))</f>
        <v>0</v>
      </c>
      <c r="U9" s="33">
        <f>IF($E9="","",ROUND(IF($N9&lt;&gt;"",$E9*$N9,$Q9)*IF($L9="",0,IFERROR(INDEX(Rates!$C$27:$C$32,MATCH($L9,Rates!$B$27:$B$32,0)),0)),2))</f>
        <v>2208.75</v>
      </c>
      <c r="V9" s="33">
        <f>IF($E9="","",ROUND($S9+$T9+$U9,2))</f>
        <v>10055.63</v>
      </c>
      <c r="W9" s="33">
        <f>IF($E9="","",IF($E9=0,0,ROUND($V9/$E9,2)))</f>
        <v>0.26</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02 150</t>
        </is>
      </c>
      <c r="C10" s="36" t="inlineStr">
        <is>
          <t>Interior demo</t>
        </is>
      </c>
      <c r="D10" s="37" t="inlineStr">
        <is>
          <t>Alternate 1: remove raised access floor, server room</t>
        </is>
      </c>
      <c r="E10" s="36" t="n">
        <v>1940</v>
      </c>
      <c r="F10" s="36" t="inlineStr">
        <is>
          <t>SF</t>
        </is>
      </c>
      <c r="G10" s="36" t="inlineStr">
        <is>
          <t>Demolition laborer</t>
        </is>
      </c>
      <c r="H10" s="36" t="n">
        <v>0.0232</v>
      </c>
      <c r="I10" s="38" t="n"/>
      <c r="J10" s="38" t="n">
        <v>0</v>
      </c>
      <c r="K10" s="36" t="n">
        <v>0</v>
      </c>
      <c r="L10" s="36" t="n"/>
      <c r="M10" s="36" t="inlineStr">
        <is>
          <t>Level 1</t>
        </is>
      </c>
      <c r="N10" s="36" t="n"/>
      <c r="O10" s="36" t="inlineStr">
        <is>
          <t>Yes</t>
        </is>
      </c>
      <c r="P10" s="37" t="n"/>
      <c r="Q10" s="33">
        <f>IF($E10="","",$E10*$H10)</f>
        <v>45.007999999999996</v>
      </c>
      <c r="R10" s="33">
        <f>IF($E10="","",IF($I10&lt;&gt;"",$I10,IF($G10="",Rates!$C$23,IFERROR(INDEX(Rates!$C$13:$C$22,MATCH($G10,Rates!$B$13:$B$22,0)),Rates!$C$23))))</f>
        <v>45</v>
      </c>
      <c r="S10" s="33">
        <f>IF($E10="","",ROUND($Q10*$R10,2))</f>
        <v>2025.36</v>
      </c>
      <c r="T10" s="33">
        <f>IF($E10="","",ROUND($E10*$J10*(1+$K10/100),2))</f>
        <v>0</v>
      </c>
      <c r="U10" s="33">
        <f>IF($E10="","",ROUND(IF($N10&lt;&gt;"",$E10*$N10,$Q10)*IF($L10="",0,IFERROR(INDEX(Rates!$C$27:$C$32,MATCH($L10,Rates!$B$27:$B$32,0)),0)),2))</f>
        <v>0</v>
      </c>
      <c r="V10" s="33">
        <f>IF($E10="","",ROUND($S10+$T10+$U10,2))</f>
        <v>2025.36</v>
      </c>
      <c r="W10" s="33">
        <f>IF($E10="","",IF($E10=0,0,ROUND($V10/$E10,2)))</f>
        <v>1.04</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ht="29" customHeight="1">
      <c r="B11" s="30" t="inlineStr">
        <is>
          <t>02 130</t>
        </is>
      </c>
      <c r="C11" s="22" t="inlineStr">
        <is>
          <t>Interior demo</t>
        </is>
      </c>
      <c r="D11" s="31" t="inlineStr">
        <is>
          <t>Remove ceilings and finishes at main lobby, night shift</t>
        </is>
      </c>
      <c r="E11" s="22" t="n">
        <v>2800</v>
      </c>
      <c r="F11" s="22" t="inlineStr">
        <is>
          <t>SF</t>
        </is>
      </c>
      <c r="G11" s="22" t="inlineStr">
        <is>
          <t>Demolition laborer</t>
        </is>
      </c>
      <c r="H11" s="22" t="n">
        <v>0.013</v>
      </c>
      <c r="I11" s="32" t="n">
        <v>67.5</v>
      </c>
      <c r="J11" s="32" t="n">
        <v>0</v>
      </c>
      <c r="K11" s="22" t="n">
        <v>0</v>
      </c>
      <c r="L11" s="22" t="n"/>
      <c r="M11" s="22" t="inlineStr">
        <is>
          <t>Level 1</t>
        </is>
      </c>
      <c r="N11" s="22" t="n"/>
      <c r="O11" s="22" t="n"/>
      <c r="P11" s="31" t="n"/>
      <c r="Q11" s="33">
        <f>IF($E11="","",$E11*$H11)</f>
        <v>36.4</v>
      </c>
      <c r="R11" s="33">
        <f>IF($E11="","",IF($I11&lt;&gt;"",$I11,IF($G11="",Rates!$C$23,IFERROR(INDEX(Rates!$C$13:$C$22,MATCH($G11,Rates!$B$13:$B$22,0)),Rates!$C$23))))</f>
        <v>67.5</v>
      </c>
      <c r="S11" s="33">
        <f>IF($E11="","",ROUND($Q11*$R11,2))</f>
        <v>2457</v>
      </c>
      <c r="T11" s="33">
        <f>IF($E11="","",ROUND($E11*$J11*(1+$K11/100),2))</f>
        <v>0</v>
      </c>
      <c r="U11" s="33">
        <f>IF($E11="","",ROUND(IF($N11&lt;&gt;"",$E11*$N11,$Q11)*IF($L11="",0,IFERROR(INDEX(Rates!$C$27:$C$32,MATCH($L11,Rates!$B$27:$B$32,0)),0)),2))</f>
        <v>0</v>
      </c>
      <c r="V11" s="33">
        <f>IF($E11="","",ROUND($S11+$T11+$U11,2))</f>
        <v>2457</v>
      </c>
      <c r="W11" s="33">
        <f>IF($E11="","",IF($E11=0,0,ROUND($V11/$E11,2)))</f>
        <v>0.88</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02 140</t>
        </is>
      </c>
      <c r="C12" s="36" t="inlineStr">
        <is>
          <t>Interior demo</t>
        </is>
      </c>
      <c r="D12" s="37" t="inlineStr">
        <is>
          <t>Remove ceilings, grid and tile</t>
        </is>
      </c>
      <c r="E12" s="36" t="n">
        <v>37150</v>
      </c>
      <c r="F12" s="36" t="inlineStr">
        <is>
          <t>SF</t>
        </is>
      </c>
      <c r="G12" s="36" t="inlineStr">
        <is>
          <t>Demolition laborer</t>
        </is>
      </c>
      <c r="H12" s="36" t="n">
        <v>0.0055</v>
      </c>
      <c r="I12" s="38" t="n"/>
      <c r="J12" s="38" t="n">
        <v>0</v>
      </c>
      <c r="K12" s="36" t="n">
        <v>0</v>
      </c>
      <c r="L12" s="36" t="n"/>
      <c r="M12" s="36" t="inlineStr">
        <is>
          <t>Level 2</t>
        </is>
      </c>
      <c r="N12" s="36" t="n"/>
      <c r="O12" s="36" t="n"/>
      <c r="P12" s="37" t="n"/>
      <c r="Q12" s="33">
        <f>IF($E12="","",$E12*$H12)</f>
        <v>204.325</v>
      </c>
      <c r="R12" s="33">
        <f>IF($E12="","",IF($I12&lt;&gt;"",$I12,IF($G12="",Rates!$C$23,IFERROR(INDEX(Rates!$C$13:$C$22,MATCH($G12,Rates!$B$13:$B$22,0)),Rates!$C$23))))</f>
        <v>45</v>
      </c>
      <c r="S12" s="33">
        <f>IF($E12="","",ROUND($Q12*$R12,2))</f>
        <v>9194.63</v>
      </c>
      <c r="T12" s="33">
        <f>IF($E12="","",ROUND($E12*$J12*(1+$K12/100),2))</f>
        <v>0</v>
      </c>
      <c r="U12" s="33">
        <f>IF($E12="","",ROUND(IF($N12&lt;&gt;"",$E12*$N12,$Q12)*IF($L12="",0,IFERROR(INDEX(Rates!$C$27:$C$32,MATCH($L12,Rates!$B$27:$B$32,0)),0)),2))</f>
        <v>0</v>
      </c>
      <c r="V12" s="33">
        <f>IF($E12="","",ROUND($S12+$T12+$U12,2))</f>
        <v>9194.63</v>
      </c>
      <c r="W12" s="33">
        <f>IF($E12="","",IF($E12=0,0,ROUND($V12/$E12,2)))</f>
        <v>0.25</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02 140</t>
        </is>
      </c>
      <c r="C13" s="22" t="inlineStr">
        <is>
          <t>Interior demo</t>
        </is>
      </c>
      <c r="D13" s="31" t="inlineStr">
        <is>
          <t>Remove partitions, metal stud and drywall</t>
        </is>
      </c>
      <c r="E13" s="22" t="n">
        <v>22050</v>
      </c>
      <c r="F13" s="22" t="inlineStr">
        <is>
          <t>SF</t>
        </is>
      </c>
      <c r="G13" s="22" t="inlineStr">
        <is>
          <t>Demolition laborer</t>
        </is>
      </c>
      <c r="H13" s="22" t="n">
        <v>0.008500000000000001</v>
      </c>
      <c r="I13" s="32" t="n"/>
      <c r="J13" s="32" t="n">
        <v>0</v>
      </c>
      <c r="K13" s="22" t="n">
        <v>0</v>
      </c>
      <c r="L13" s="22" t="n"/>
      <c r="M13" s="22" t="inlineStr">
        <is>
          <t>Level 2</t>
        </is>
      </c>
      <c r="N13" s="22" t="n"/>
      <c r="O13" s="22" t="n"/>
      <c r="P13" s="31" t="n"/>
      <c r="Q13" s="33">
        <f>IF($E13="","",$E13*$H13)</f>
        <v>187.425</v>
      </c>
      <c r="R13" s="33">
        <f>IF($E13="","",IF($I13&lt;&gt;"",$I13,IF($G13="",Rates!$C$23,IFERROR(INDEX(Rates!$C$13:$C$22,MATCH($G13,Rates!$B$13:$B$22,0)),Rates!$C$23))))</f>
        <v>45</v>
      </c>
      <c r="S13" s="33">
        <f>IF($E13="","",ROUND($Q13*$R13,2))</f>
        <v>8434.13</v>
      </c>
      <c r="T13" s="33">
        <f>IF($E13="","",ROUND($E13*$J13*(1+$K13/100),2))</f>
        <v>0</v>
      </c>
      <c r="U13" s="33">
        <f>IF($E13="","",ROUND(IF($N13&lt;&gt;"",$E13*$N13,$Q13)*IF($L13="",0,IFERROR(INDEX(Rates!$C$27:$C$32,MATCH($L13,Rates!$B$27:$B$32,0)),0)),2))</f>
        <v>0</v>
      </c>
      <c r="V13" s="33">
        <f>IF($E13="","",ROUND($S13+$T13+$U13,2))</f>
        <v>8434.13</v>
      </c>
      <c r="W13" s="33">
        <f>IF($E13="","",IF($E13=0,0,ROUND($V13/$E13,2)))</f>
        <v>0.38</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02 150</t>
        </is>
      </c>
      <c r="C14" s="36" t="inlineStr">
        <is>
          <t>Interior demo</t>
        </is>
      </c>
      <c r="D14" s="37" t="inlineStr">
        <is>
          <t>Remove flooring and grind adhesive</t>
        </is>
      </c>
      <c r="E14" s="36" t="n">
        <v>37150</v>
      </c>
      <c r="F14" s="36" t="inlineStr">
        <is>
          <t>SF</t>
        </is>
      </c>
      <c r="G14" s="36" t="inlineStr">
        <is>
          <t>Demolition laborer</t>
        </is>
      </c>
      <c r="H14" s="36" t="n">
        <v>0.0045</v>
      </c>
      <c r="I14" s="38" t="n"/>
      <c r="J14" s="38" t="n">
        <v>0</v>
      </c>
      <c r="K14" s="36" t="n">
        <v>0</v>
      </c>
      <c r="L14" s="36" t="inlineStr">
        <is>
          <t>Floor grinder</t>
        </is>
      </c>
      <c r="M14" s="36" t="inlineStr">
        <is>
          <t>Level 2</t>
        </is>
      </c>
      <c r="N14" s="36" t="n">
        <v>0.0019</v>
      </c>
      <c r="O14" s="36" t="n"/>
      <c r="P14" s="37" t="n"/>
      <c r="Q14" s="33">
        <f>IF($E14="","",$E14*$H14)</f>
        <v>167.17499999999998</v>
      </c>
      <c r="R14" s="33">
        <f>IF($E14="","",IF($I14&lt;&gt;"",$I14,IF($G14="",Rates!$C$23,IFERROR(INDEX(Rates!$C$13:$C$22,MATCH($G14,Rates!$B$13:$B$22,0)),Rates!$C$23))))</f>
        <v>45</v>
      </c>
      <c r="S14" s="33">
        <f>IF($E14="","",ROUND($Q14*$R14,2))</f>
        <v>7522.88</v>
      </c>
      <c r="T14" s="33">
        <f>IF($E14="","",ROUND($E14*$J14*(1+$K14/100),2))</f>
        <v>0</v>
      </c>
      <c r="U14" s="33">
        <f>IF($E14="","",ROUND(IF($N14&lt;&gt;"",$E14*$N14,$Q14)*IF($L14="",0,IFERROR(INDEX(Rates!$C$27:$C$32,MATCH($L14,Rates!$B$27:$B$32,0)),0)),2))</f>
        <v>2117.55</v>
      </c>
      <c r="V14" s="33">
        <f>IF($E14="","",ROUND($S14+$T14+$U14,2))</f>
        <v>9640.43</v>
      </c>
      <c r="W14" s="33">
        <f>IF($E14="","",IF($E14=0,0,ROUND($V14/$E14,2)))</f>
        <v>0.26</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02 210</t>
        </is>
      </c>
      <c r="C15" s="22" t="inlineStr">
        <is>
          <t>Annex teardown</t>
        </is>
      </c>
      <c r="D15" s="31" t="inlineStr">
        <is>
          <t>Demolish one-story annex</t>
        </is>
      </c>
      <c r="E15" s="22" t="n">
        <v>7000</v>
      </c>
      <c r="F15" s="22" t="inlineStr">
        <is>
          <t>SF</t>
        </is>
      </c>
      <c r="G15" s="22" t="inlineStr">
        <is>
          <t>Equipment operator</t>
        </is>
      </c>
      <c r="H15" s="22" t="n">
        <v>0.028</v>
      </c>
      <c r="I15" s="32" t="n"/>
      <c r="J15" s="32" t="n">
        <v>0</v>
      </c>
      <c r="K15" s="22" t="n">
        <v>0</v>
      </c>
      <c r="L15" s="22" t="inlineStr">
        <is>
          <t>Excavator with shears</t>
        </is>
      </c>
      <c r="M15" s="22" t="inlineStr">
        <is>
          <t>Annex</t>
        </is>
      </c>
      <c r="N15" s="22" t="n">
        <v>0.011</v>
      </c>
      <c r="O15" s="22" t="n"/>
      <c r="P15" s="31" t="n"/>
      <c r="Q15" s="33">
        <f>IF($E15="","",$E15*$H15)</f>
        <v>196</v>
      </c>
      <c r="R15" s="33">
        <f>IF($E15="","",IF($I15&lt;&gt;"",$I15,IF($G15="",Rates!$C$23,IFERROR(INDEX(Rates!$C$13:$C$22,MATCH($G15,Rates!$B$13:$B$22,0)),Rates!$C$23))))</f>
        <v>68</v>
      </c>
      <c r="S15" s="33">
        <f>IF($E15="","",ROUND($Q15*$R15,2))</f>
        <v>13328</v>
      </c>
      <c r="T15" s="33">
        <f>IF($E15="","",ROUND($E15*$J15*(1+$K15/100),2))</f>
        <v>0</v>
      </c>
      <c r="U15" s="33">
        <f>IF($E15="","",ROUND(IF($N15&lt;&gt;"",$E15*$N15,$Q15)*IF($L15="",0,IFERROR(INDEX(Rates!$C$27:$C$32,MATCH($L15,Rates!$B$27:$B$32,0)),0)),2))</f>
        <v>13475</v>
      </c>
      <c r="V15" s="33">
        <f>IF($E15="","",ROUND($S15+$T15+$U15,2))</f>
        <v>26803</v>
      </c>
      <c r="W15" s="33">
        <f>IF($E15="","",IF($E15=0,0,ROUND($V15/$E15,2)))</f>
        <v>3.83</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ht="29" customHeight="1">
      <c r="B16" s="35" t="inlineStr">
        <is>
          <t>02 200</t>
        </is>
      </c>
      <c r="C16" s="36" t="inlineStr">
        <is>
          <t>Annex teardown</t>
        </is>
      </c>
      <c r="D16" s="37" t="inlineStr">
        <is>
          <t>Strip roofing and insulation from annex before teardown</t>
        </is>
      </c>
      <c r="E16" s="36" t="n">
        <v>7000</v>
      </c>
      <c r="F16" s="36" t="inlineStr">
        <is>
          <t>SF</t>
        </is>
      </c>
      <c r="G16" s="36" t="inlineStr">
        <is>
          <t>Demolition laborer</t>
        </is>
      </c>
      <c r="H16" s="36" t="n">
        <v>0.00465</v>
      </c>
      <c r="I16" s="38" t="n"/>
      <c r="J16" s="38" t="n">
        <v>0</v>
      </c>
      <c r="K16" s="36" t="n">
        <v>0</v>
      </c>
      <c r="L16" s="36" t="n"/>
      <c r="M16" s="36" t="inlineStr">
        <is>
          <t>Annex</t>
        </is>
      </c>
      <c r="N16" s="36" t="n"/>
      <c r="O16" s="36" t="n"/>
      <c r="P16" s="37" t="n"/>
      <c r="Q16" s="33">
        <f>IF($E16="","",$E16*$H16)</f>
        <v>32.55</v>
      </c>
      <c r="R16" s="33">
        <f>IF($E16="","",IF($I16&lt;&gt;"",$I16,IF($G16="",Rates!$C$23,IFERROR(INDEX(Rates!$C$13:$C$22,MATCH($G16,Rates!$B$13:$B$22,0)),Rates!$C$23))))</f>
        <v>45</v>
      </c>
      <c r="S16" s="33">
        <f>IF($E16="","",ROUND($Q16*$R16,2))</f>
        <v>1464.75</v>
      </c>
      <c r="T16" s="33">
        <f>IF($E16="","",ROUND($E16*$J16*(1+$K16/100),2))</f>
        <v>0</v>
      </c>
      <c r="U16" s="33">
        <f>IF($E16="","",ROUND(IF($N16&lt;&gt;"",$E16*$N16,$Q16)*IF($L16="",0,IFERROR(INDEX(Rates!$C$27:$C$32,MATCH($L16,Rates!$B$27:$B$32,0)),0)),2))</f>
        <v>0</v>
      </c>
      <c r="V16" s="33">
        <f>IF($E16="","",ROUND($S16+$T16+$U16,2))</f>
        <v>1464.75</v>
      </c>
      <c r="W16" s="33">
        <f>IF($E16="","",IF($E16=0,0,ROUND($V16/$E16,2)))</f>
        <v>0.21</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02 170</t>
        </is>
      </c>
      <c r="C17" s="22" t="inlineStr">
        <is>
          <t>Annex teardown</t>
        </is>
      </c>
      <c r="D17" s="31" t="inlineStr">
        <is>
          <t>Break out annex slab and footings</t>
        </is>
      </c>
      <c r="E17" s="22" t="n">
        <v>7000</v>
      </c>
      <c r="F17" s="22" t="inlineStr">
        <is>
          <t>SF</t>
        </is>
      </c>
      <c r="G17" s="22" t="inlineStr">
        <is>
          <t>Equipment operator</t>
        </is>
      </c>
      <c r="H17" s="22" t="n">
        <v>0.00929</v>
      </c>
      <c r="I17" s="32" t="n"/>
      <c r="J17" s="32" t="n">
        <v>0</v>
      </c>
      <c r="K17" s="22" t="n">
        <v>0</v>
      </c>
      <c r="L17" s="22" t="inlineStr">
        <is>
          <t>Excavator with shears</t>
        </is>
      </c>
      <c r="M17" s="22" t="inlineStr">
        <is>
          <t>Annex</t>
        </is>
      </c>
      <c r="N17" s="22" t="n">
        <v>0.0065</v>
      </c>
      <c r="O17" s="22" t="n"/>
      <c r="P17" s="31" t="n"/>
      <c r="Q17" s="33">
        <f>IF($E17="","",$E17*$H17)</f>
        <v>65.03</v>
      </c>
      <c r="R17" s="33">
        <f>IF($E17="","",IF($I17&lt;&gt;"",$I17,IF($G17="",Rates!$C$23,IFERROR(INDEX(Rates!$C$13:$C$22,MATCH($G17,Rates!$B$13:$B$22,0)),Rates!$C$23))))</f>
        <v>68</v>
      </c>
      <c r="S17" s="33">
        <f>IF($E17="","",ROUND($Q17*$R17,2))</f>
        <v>4422.04</v>
      </c>
      <c r="T17" s="33">
        <f>IF($E17="","",ROUND($E17*$J17*(1+$K17/100),2))</f>
        <v>0</v>
      </c>
      <c r="U17" s="33">
        <f>IF($E17="","",ROUND(IF($N17&lt;&gt;"",$E17*$N17,$Q17)*IF($L17="",0,IFERROR(INDEX(Rates!$C$27:$C$32,MATCH($L17,Rates!$B$27:$B$32,0)),0)),2))</f>
        <v>7962.5</v>
      </c>
      <c r="V17" s="33">
        <f>IF($E17="","",ROUND($S17+$T17+$U17,2))</f>
        <v>12384.54</v>
      </c>
      <c r="W17" s="33">
        <f>IF($E17="","",IF($E17=0,0,ROUND($V17/$E17,2)))</f>
        <v>1.77</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02 190</t>
        </is>
      </c>
      <c r="C18" s="36" t="inlineStr">
        <is>
          <t>Annex teardown</t>
        </is>
      </c>
      <c r="D18" s="37" t="inlineStr">
        <is>
          <t>Torch-cut annex steel beams and columns for recycling</t>
        </is>
      </c>
      <c r="E18" s="36" t="n">
        <v>64</v>
      </c>
      <c r="F18" s="36" t="inlineStr">
        <is>
          <t>ea</t>
        </is>
      </c>
      <c r="G18" s="36" t="inlineStr">
        <is>
          <t>Burner</t>
        </is>
      </c>
      <c r="H18" s="36" t="n">
        <v>0.75</v>
      </c>
      <c r="I18" s="38" t="n"/>
      <c r="J18" s="38" t="n">
        <v>9.6</v>
      </c>
      <c r="K18" s="36" t="n">
        <v>0</v>
      </c>
      <c r="L18" s="36" t="n"/>
      <c r="M18" s="36" t="inlineStr">
        <is>
          <t>Annex</t>
        </is>
      </c>
      <c r="N18" s="36" t="n"/>
      <c r="O18" s="36" t="n"/>
      <c r="P18" s="37" t="n"/>
      <c r="Q18" s="33">
        <f>IF($E18="","",$E18*$H18)</f>
        <v>48</v>
      </c>
      <c r="R18" s="33">
        <f>IF($E18="","",IF($I18&lt;&gt;"",$I18,IF($G18="",Rates!$C$23,IFERROR(INDEX(Rates!$C$13:$C$22,MATCH($G18,Rates!$B$13:$B$22,0)),Rates!$C$23))))</f>
        <v>58</v>
      </c>
      <c r="S18" s="33">
        <f>IF($E18="","",ROUND($Q18*$R18,2))</f>
        <v>2784</v>
      </c>
      <c r="T18" s="33">
        <f>IF($E18="","",ROUND($E18*$J18*(1+$K18/100),2))</f>
        <v>614.4</v>
      </c>
      <c r="U18" s="33">
        <f>IF($E18="","",ROUND(IF($N18&lt;&gt;"",$E18*$N18,$Q18)*IF($L18="",0,IFERROR(INDEX(Rates!$C$27:$C$32,MATCH($L18,Rates!$B$27:$B$32,0)),0)),2))</f>
        <v>0</v>
      </c>
      <c r="V18" s="33">
        <f>IF($E18="","",ROUND($S18+$T18+$U18,2))</f>
        <v>3398.4</v>
      </c>
      <c r="W18" s="33">
        <f>IF($E18="","",IF($E18=0,0,ROUND($V18/$E18,2)))</f>
        <v>53.1</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02 250</t>
        </is>
      </c>
      <c r="C19" s="22" t="inlineStr">
        <is>
          <t>Annex teardown</t>
        </is>
      </c>
      <c r="D19" s="31" t="inlineStr">
        <is>
          <t>Sort and stockpile concrete rubble for recycling</t>
        </is>
      </c>
      <c r="E19" s="22" t="n">
        <v>366</v>
      </c>
      <c r="F19" s="22" t="inlineStr">
        <is>
          <t>CY</t>
        </is>
      </c>
      <c r="G19" s="22" t="inlineStr">
        <is>
          <t>Equipment operator</t>
        </is>
      </c>
      <c r="H19" s="22" t="n">
        <v>0.0459</v>
      </c>
      <c r="I19" s="32" t="n"/>
      <c r="J19" s="32" t="n">
        <v>0</v>
      </c>
      <c r="K19" s="22" t="n">
        <v>0</v>
      </c>
      <c r="L19" s="22" t="inlineStr">
        <is>
          <t>Skid steer</t>
        </is>
      </c>
      <c r="M19" s="22" t="inlineStr">
        <is>
          <t>Annex</t>
        </is>
      </c>
      <c r="N19" s="22" t="n">
        <v>0.0306</v>
      </c>
      <c r="O19" s="22" t="n"/>
      <c r="P19" s="31" t="n"/>
      <c r="Q19" s="33">
        <f>IF($E19="","",$E19*$H19)</f>
        <v>16.799400000000002</v>
      </c>
      <c r="R19" s="33">
        <f>IF($E19="","",IF($I19&lt;&gt;"",$I19,IF($G19="",Rates!$C$23,IFERROR(INDEX(Rates!$C$13:$C$22,MATCH($G19,Rates!$B$13:$B$22,0)),Rates!$C$23))))</f>
        <v>68</v>
      </c>
      <c r="S19" s="33">
        <f>IF($E19="","",ROUND($Q19*$R19,2))</f>
        <v>1142.36</v>
      </c>
      <c r="T19" s="33">
        <f>IF($E19="","",ROUND($E19*$J19*(1+$K19/100),2))</f>
        <v>0</v>
      </c>
      <c r="U19" s="33">
        <f>IF($E19="","",ROUND(IF($N19&lt;&gt;"",$E19*$N19,$Q19)*IF($L19="",0,IFERROR(INDEX(Rates!$C$27:$C$32,MATCH($L19,Rates!$B$27:$B$32,0)),0)),2))</f>
        <v>727.97</v>
      </c>
      <c r="V19" s="33">
        <f>IF($E19="","",ROUND($S19+$T19+$U19,2))</f>
        <v>1870.33</v>
      </c>
      <c r="W19" s="33">
        <f>IF($E19="","",IF($E19=0,0,ROUND($V19/$E19,2)))</f>
        <v>5.11</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02 160</t>
        </is>
      </c>
      <c r="C20" s="36" t="inlineStr">
        <is>
          <t>Annex teardown</t>
        </is>
      </c>
      <c r="D20" s="37" t="inlineStr">
        <is>
          <t>Remove annex windows and doors for recycling</t>
        </is>
      </c>
      <c r="E20" s="36" t="n">
        <v>24</v>
      </c>
      <c r="F20" s="36" t="inlineStr">
        <is>
          <t>ea</t>
        </is>
      </c>
      <c r="G20" s="36" t="inlineStr">
        <is>
          <t>Demolition laborer</t>
        </is>
      </c>
      <c r="H20" s="36" t="n">
        <v>0.8</v>
      </c>
      <c r="I20" s="38" t="n"/>
      <c r="J20" s="38" t="n">
        <v>0</v>
      </c>
      <c r="K20" s="36" t="n">
        <v>0</v>
      </c>
      <c r="L20" s="36" t="n"/>
      <c r="M20" s="36" t="inlineStr">
        <is>
          <t>Annex</t>
        </is>
      </c>
      <c r="N20" s="36" t="n"/>
      <c r="O20" s="36" t="n"/>
      <c r="P20" s="37" t="n"/>
      <c r="Q20" s="33">
        <f>IF($E20="","",$E20*$H20)</f>
        <v>19.200000000000003</v>
      </c>
      <c r="R20" s="33">
        <f>IF($E20="","",IF($I20&lt;&gt;"",$I20,IF($G20="",Rates!$C$23,IFERROR(INDEX(Rates!$C$13:$C$22,MATCH($G20,Rates!$B$13:$B$22,0)),Rates!$C$23))))</f>
        <v>45</v>
      </c>
      <c r="S20" s="33">
        <f>IF($E20="","",ROUND($Q20*$R20,2))</f>
        <v>864</v>
      </c>
      <c r="T20" s="33">
        <f>IF($E20="","",ROUND($E20*$J20*(1+$K20/100),2))</f>
        <v>0</v>
      </c>
      <c r="U20" s="33">
        <f>IF($E20="","",ROUND(IF($N20&lt;&gt;"",$E20*$N20,$Q20)*IF($L20="",0,IFERROR(INDEX(Rates!$C$27:$C$32,MATCH($L20,Rates!$B$27:$B$32,0)),0)),2))</f>
        <v>0</v>
      </c>
      <c r="V20" s="33">
        <f>IF($E20="","",ROUND($S20+$T20+$U20,2))</f>
        <v>864</v>
      </c>
      <c r="W20" s="33">
        <f>IF($E20="","",IF($E20=0,0,ROUND($V20/$E20,2)))</f>
        <v>36</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02 120</t>
        </is>
      </c>
      <c r="C21" s="22" t="inlineStr">
        <is>
          <t>Annex teardown</t>
        </is>
      </c>
      <c r="D21" s="31" t="inlineStr">
        <is>
          <t>Temporary weather wall at annex opening</t>
        </is>
      </c>
      <c r="E21" s="22" t="n">
        <v>1</v>
      </c>
      <c r="F21" s="22" t="inlineStr">
        <is>
          <t>LS</t>
        </is>
      </c>
      <c r="G21" s="22" t="inlineStr">
        <is>
          <t>Carpenter</t>
        </is>
      </c>
      <c r="H21" s="22" t="n">
        <v>40</v>
      </c>
      <c r="I21" s="32" t="n"/>
      <c r="J21" s="32" t="n">
        <v>2240</v>
      </c>
      <c r="K21" s="22" t="n">
        <v>0</v>
      </c>
      <c r="L21" s="22" t="n"/>
      <c r="M21" s="22" t="inlineStr">
        <is>
          <t>Annex</t>
        </is>
      </c>
      <c r="N21" s="22" t="n"/>
      <c r="O21" s="22" t="n"/>
      <c r="P21" s="31" t="n"/>
      <c r="Q21" s="33">
        <f>IF($E21="","",$E21*$H21)</f>
        <v>40</v>
      </c>
      <c r="R21" s="33">
        <f>IF($E21="","",IF($I21&lt;&gt;"",$I21,IF($G21="",Rates!$C$23,IFERROR(INDEX(Rates!$C$13:$C$22,MATCH($G21,Rates!$B$13:$B$22,0)),Rates!$C$23))))</f>
        <v>62</v>
      </c>
      <c r="S21" s="33">
        <f>IF($E21="","",ROUND($Q21*$R21,2))</f>
        <v>2480</v>
      </c>
      <c r="T21" s="33">
        <f>IF($E21="","",ROUND($E21*$J21*(1+$K21/100),2))</f>
        <v>2240</v>
      </c>
      <c r="U21" s="33">
        <f>IF($E21="","",ROUND(IF($N21&lt;&gt;"",$E21*$N21,$Q21)*IF($L21="",0,IFERROR(INDEX(Rates!$C$27:$C$32,MATCH($L21,Rates!$B$27:$B$32,0)),0)),2))</f>
        <v>0</v>
      </c>
      <c r="V21" s="33">
        <f>IF($E21="","",ROUND($S21+$T21+$U21,2))</f>
        <v>4720</v>
      </c>
      <c r="W21" s="33">
        <f>IF($E21="","",IF($E21=0,0,ROUND($V21/$E21,2)))</f>
        <v>4720</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ht="29" customHeight="1">
      <c r="B22" s="35" t="inlineStr">
        <is>
          <t>02 130</t>
        </is>
      </c>
      <c r="C22" s="36" t="inlineStr">
        <is>
          <t>Services</t>
        </is>
      </c>
      <c r="D22" s="37" t="inlineStr">
        <is>
          <t>Remove abandoned wiring and devices, made safe by others</t>
        </is>
      </c>
      <c r="E22" s="36" t="n">
        <v>38750</v>
      </c>
      <c r="F22" s="36" t="inlineStr">
        <is>
          <t>SF</t>
        </is>
      </c>
      <c r="G22" s="36" t="inlineStr">
        <is>
          <t>Demolition laborer</t>
        </is>
      </c>
      <c r="H22" s="36" t="n">
        <v>0.00111</v>
      </c>
      <c r="I22" s="38" t="n"/>
      <c r="J22" s="38" t="n">
        <v>0</v>
      </c>
      <c r="K22" s="36" t="n">
        <v>0</v>
      </c>
      <c r="L22" s="36" t="n"/>
      <c r="M22" s="36" t="inlineStr">
        <is>
          <t>Level 1</t>
        </is>
      </c>
      <c r="N22" s="36" t="n"/>
      <c r="O22" s="36" t="n"/>
      <c r="P22" s="37" t="n"/>
      <c r="Q22" s="33">
        <f>IF($E22="","",$E22*$H22)</f>
        <v>43.0125</v>
      </c>
      <c r="R22" s="33">
        <f>IF($E22="","",IF($I22&lt;&gt;"",$I22,IF($G22="",Rates!$C$23,IFERROR(INDEX(Rates!$C$13:$C$22,MATCH($G22,Rates!$B$13:$B$22,0)),Rates!$C$23))))</f>
        <v>45</v>
      </c>
      <c r="S22" s="33">
        <f>IF($E22="","",ROUND($Q22*$R22,2))</f>
        <v>1935.56</v>
      </c>
      <c r="T22" s="33">
        <f>IF($E22="","",ROUND($E22*$J22*(1+$K22/100),2))</f>
        <v>0</v>
      </c>
      <c r="U22" s="33">
        <f>IF($E22="","",ROUND(IF($N22&lt;&gt;"",$E22*$N22,$Q22)*IF($L22="",0,IFERROR(INDEX(Rates!$C$27:$C$32,MATCH($L22,Rates!$B$27:$B$32,0)),0)),2))</f>
        <v>0</v>
      </c>
      <c r="V22" s="33">
        <f>IF($E22="","",ROUND($S22+$T22+$U22,2))</f>
        <v>1935.56</v>
      </c>
      <c r="W22" s="33">
        <f>IF($E22="","",IF($E22=0,0,ROUND($V22/$E22,2)))</f>
        <v>0.05</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ht="29" customHeight="1">
      <c r="B23" s="30" t="inlineStr">
        <is>
          <t>02 130</t>
        </is>
      </c>
      <c r="C23" s="22" t="inlineStr">
        <is>
          <t>Services</t>
        </is>
      </c>
      <c r="D23" s="31" t="inlineStr">
        <is>
          <t>Remove abandoned wiring and devices, made safe by others</t>
        </is>
      </c>
      <c r="E23" s="22" t="n">
        <v>37150</v>
      </c>
      <c r="F23" s="22" t="inlineStr">
        <is>
          <t>SF</t>
        </is>
      </c>
      <c r="G23" s="22" t="inlineStr">
        <is>
          <t>Demolition laborer</t>
        </is>
      </c>
      <c r="H23" s="22" t="n">
        <v>0.00111</v>
      </c>
      <c r="I23" s="32" t="n"/>
      <c r="J23" s="32" t="n">
        <v>0</v>
      </c>
      <c r="K23" s="22" t="n">
        <v>0</v>
      </c>
      <c r="L23" s="22" t="n"/>
      <c r="M23" s="22" t="inlineStr">
        <is>
          <t>Level 2</t>
        </is>
      </c>
      <c r="N23" s="22" t="n"/>
      <c r="O23" s="22" t="n"/>
      <c r="P23" s="31" t="n"/>
      <c r="Q23" s="33">
        <f>IF($E23="","",$E23*$H23)</f>
        <v>41.23650000000001</v>
      </c>
      <c r="R23" s="33">
        <f>IF($E23="","",IF($I23&lt;&gt;"",$I23,IF($G23="",Rates!$C$23,IFERROR(INDEX(Rates!$C$13:$C$22,MATCH($G23,Rates!$B$13:$B$22,0)),Rates!$C$23))))</f>
        <v>45</v>
      </c>
      <c r="S23" s="33">
        <f>IF($E23="","",ROUND($Q23*$R23,2))</f>
        <v>1855.64</v>
      </c>
      <c r="T23" s="33">
        <f>IF($E23="","",ROUND($E23*$J23*(1+$K23/100),2))</f>
        <v>0</v>
      </c>
      <c r="U23" s="33">
        <f>IF($E23="","",ROUND(IF($N23&lt;&gt;"",$E23*$N23,$Q23)*IF($L23="",0,IFERROR(INDEX(Rates!$C$27:$C$32,MATCH($L23,Rates!$B$27:$B$32,0)),0)),2))</f>
        <v>0</v>
      </c>
      <c r="V23" s="33">
        <f>IF($E23="","",ROUND($S23+$T23+$U23,2))</f>
        <v>1855.64</v>
      </c>
      <c r="W23" s="33">
        <f>IF($E23="","",IF($E23=0,0,ROUND($V23/$E23,2)))</f>
        <v>0.05</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02 140</t>
        </is>
      </c>
      <c r="C24" s="36" t="inlineStr">
        <is>
          <t>Services</t>
        </is>
      </c>
      <c r="D24" s="37" t="inlineStr">
        <is>
          <t>Remove abandoned ductwork and diffusers above ceiling</t>
        </is>
      </c>
      <c r="E24" s="36" t="n">
        <v>38750</v>
      </c>
      <c r="F24" s="36" t="inlineStr">
        <is>
          <t>SF</t>
        </is>
      </c>
      <c r="G24" s="36" t="inlineStr">
        <is>
          <t>Demolition laborer</t>
        </is>
      </c>
      <c r="H24" s="36" t="n">
        <v>0.00186</v>
      </c>
      <c r="I24" s="38" t="n"/>
      <c r="J24" s="38" t="n">
        <v>0</v>
      </c>
      <c r="K24" s="36" t="n">
        <v>0</v>
      </c>
      <c r="L24" s="36" t="n"/>
      <c r="M24" s="36" t="inlineStr">
        <is>
          <t>Level 1</t>
        </is>
      </c>
      <c r="N24" s="36" t="n"/>
      <c r="O24" s="36" t="n"/>
      <c r="P24" s="37" t="n"/>
      <c r="Q24" s="33">
        <f>IF($E24="","",$E24*$H24)</f>
        <v>72.075</v>
      </c>
      <c r="R24" s="33">
        <f>IF($E24="","",IF($I24&lt;&gt;"",$I24,IF($G24="",Rates!$C$23,IFERROR(INDEX(Rates!$C$13:$C$22,MATCH($G24,Rates!$B$13:$B$22,0)),Rates!$C$23))))</f>
        <v>45</v>
      </c>
      <c r="S24" s="33">
        <f>IF($E24="","",ROUND($Q24*$R24,2))</f>
        <v>3243.38</v>
      </c>
      <c r="T24" s="33">
        <f>IF($E24="","",ROUND($E24*$J24*(1+$K24/100),2))</f>
        <v>0</v>
      </c>
      <c r="U24" s="33">
        <f>IF($E24="","",ROUND(IF($N24&lt;&gt;"",$E24*$N24,$Q24)*IF($L24="",0,IFERROR(INDEX(Rates!$C$27:$C$32,MATCH($L24,Rates!$B$27:$B$32,0)),0)),2))</f>
        <v>0</v>
      </c>
      <c r="V24" s="33">
        <f>IF($E24="","",ROUND($S24+$T24+$U24,2))</f>
        <v>3243.38</v>
      </c>
      <c r="W24" s="33">
        <f>IF($E24="","",IF($E24=0,0,ROUND($V24/$E24,2)))</f>
        <v>0.08</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02 140</t>
        </is>
      </c>
      <c r="C25" s="22" t="inlineStr">
        <is>
          <t>Services</t>
        </is>
      </c>
      <c r="D25" s="31" t="inlineStr">
        <is>
          <t>Remove abandoned ductwork and diffusers above ceiling</t>
        </is>
      </c>
      <c r="E25" s="22" t="n">
        <v>37150</v>
      </c>
      <c r="F25" s="22" t="inlineStr">
        <is>
          <t>SF</t>
        </is>
      </c>
      <c r="G25" s="22" t="inlineStr">
        <is>
          <t>Demolition laborer</t>
        </is>
      </c>
      <c r="H25" s="22" t="n">
        <v>0.00186</v>
      </c>
      <c r="I25" s="32" t="n"/>
      <c r="J25" s="32" t="n">
        <v>0</v>
      </c>
      <c r="K25" s="22" t="n">
        <v>0</v>
      </c>
      <c r="L25" s="22" t="n"/>
      <c r="M25" s="22" t="inlineStr">
        <is>
          <t>Level 2</t>
        </is>
      </c>
      <c r="N25" s="22" t="n"/>
      <c r="O25" s="22" t="n"/>
      <c r="P25" s="31" t="n"/>
      <c r="Q25" s="33">
        <f>IF($E25="","",$E25*$H25)</f>
        <v>69.099</v>
      </c>
      <c r="R25" s="33">
        <f>IF($E25="","",IF($I25&lt;&gt;"",$I25,IF($G25="",Rates!$C$23,IFERROR(INDEX(Rates!$C$13:$C$22,MATCH($G25,Rates!$B$13:$B$22,0)),Rates!$C$23))))</f>
        <v>45</v>
      </c>
      <c r="S25" s="33">
        <f>IF($E25="","",ROUND($Q25*$R25,2))</f>
        <v>3109.46</v>
      </c>
      <c r="T25" s="33">
        <f>IF($E25="","",ROUND($E25*$J25*(1+$K25/100),2))</f>
        <v>0</v>
      </c>
      <c r="U25" s="33">
        <f>IF($E25="","",ROUND(IF($N25&lt;&gt;"",$E25*$N25,$Q25)*IF($L25="",0,IFERROR(INDEX(Rates!$C$27:$C$32,MATCH($L25,Rates!$B$27:$B$32,0)),0)),2))</f>
        <v>0</v>
      </c>
      <c r="V25" s="33">
        <f>IF($E25="","",ROUND($S25+$T25+$U25,2))</f>
        <v>3109.46</v>
      </c>
      <c r="W25" s="33">
        <f>IF($E25="","",IF($E25=0,0,ROUND($V25/$E25,2)))</f>
        <v>0.08</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ht="29" customHeight="1">
      <c r="B26" s="35" t="inlineStr">
        <is>
          <t>02 160</t>
        </is>
      </c>
      <c r="C26" s="36" t="inlineStr">
        <is>
          <t>Services</t>
        </is>
      </c>
      <c r="D26" s="37" t="inlineStr">
        <is>
          <t>Remove restroom fixtures and partitions, capped by others</t>
        </is>
      </c>
      <c r="E26" s="36" t="n">
        <v>24</v>
      </c>
      <c r="F26" s="36" t="inlineStr">
        <is>
          <t>ea</t>
        </is>
      </c>
      <c r="G26" s="36" t="inlineStr">
        <is>
          <t>Demolition laborer</t>
        </is>
      </c>
      <c r="H26" s="36" t="n">
        <v>1.2</v>
      </c>
      <c r="I26" s="38" t="n"/>
      <c r="J26" s="38" t="n">
        <v>0</v>
      </c>
      <c r="K26" s="36" t="n">
        <v>0</v>
      </c>
      <c r="L26" s="36" t="n"/>
      <c r="M26" s="36" t="inlineStr">
        <is>
          <t>Level 1</t>
        </is>
      </c>
      <c r="N26" s="36" t="n"/>
      <c r="O26" s="36" t="n"/>
      <c r="P26" s="37" t="n"/>
      <c r="Q26" s="33">
        <f>IF($E26="","",$E26*$H26)</f>
        <v>28.799999999999997</v>
      </c>
      <c r="R26" s="33">
        <f>IF($E26="","",IF($I26&lt;&gt;"",$I26,IF($G26="",Rates!$C$23,IFERROR(INDEX(Rates!$C$13:$C$22,MATCH($G26,Rates!$B$13:$B$22,0)),Rates!$C$23))))</f>
        <v>45</v>
      </c>
      <c r="S26" s="33">
        <f>IF($E26="","",ROUND($Q26*$R26,2))</f>
        <v>1296</v>
      </c>
      <c r="T26" s="33">
        <f>IF($E26="","",ROUND($E26*$J26*(1+$K26/100),2))</f>
        <v>0</v>
      </c>
      <c r="U26" s="33">
        <f>IF($E26="","",ROUND(IF($N26&lt;&gt;"",$E26*$N26,$Q26)*IF($L26="",0,IFERROR(INDEX(Rates!$C$27:$C$32,MATCH($L26,Rates!$B$27:$B$32,0)),0)),2))</f>
        <v>0</v>
      </c>
      <c r="V26" s="33">
        <f>IF($E26="","",ROUND($S26+$T26+$U26,2))</f>
        <v>1296</v>
      </c>
      <c r="W26" s="33">
        <f>IF($E26="","",IF($E26=0,0,ROUND($V26/$E26,2)))</f>
        <v>54</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02 290</t>
        </is>
      </c>
      <c r="C27" s="22" t="inlineStr">
        <is>
          <t>Site restoration</t>
        </is>
      </c>
      <c r="D27" s="31" t="inlineStr">
        <is>
          <t>Backfill annex footprint, bank-run gravel, compacted</t>
        </is>
      </c>
      <c r="E27" s="22" t="n">
        <v>366</v>
      </c>
      <c r="F27" s="22" t="inlineStr">
        <is>
          <t>CY</t>
        </is>
      </c>
      <c r="G27" s="22" t="inlineStr">
        <is>
          <t>Equipment operator</t>
        </is>
      </c>
      <c r="H27" s="22" t="n">
        <v>0.0612</v>
      </c>
      <c r="I27" s="32" t="n"/>
      <c r="J27" s="32" t="n">
        <v>19.6</v>
      </c>
      <c r="K27" s="22" t="n">
        <v>10</v>
      </c>
      <c r="L27" s="22" t="inlineStr">
        <is>
          <t>Skid steer</t>
        </is>
      </c>
      <c r="M27" s="22" t="inlineStr">
        <is>
          <t>Annex</t>
        </is>
      </c>
      <c r="N27" s="22" t="n">
        <v>0.0382</v>
      </c>
      <c r="O27" s="22" t="n"/>
      <c r="P27" s="31" t="n"/>
      <c r="Q27" s="33">
        <f>IF($E27="","",$E27*$H27)</f>
        <v>22.3992</v>
      </c>
      <c r="R27" s="33">
        <f>IF($E27="","",IF($I27&lt;&gt;"",$I27,IF($G27="",Rates!$C$23,IFERROR(INDEX(Rates!$C$13:$C$22,MATCH($G27,Rates!$B$13:$B$22,0)),Rates!$C$23))))</f>
        <v>68</v>
      </c>
      <c r="S27" s="33">
        <f>IF($E27="","",ROUND($Q27*$R27,2))</f>
        <v>1523.15</v>
      </c>
      <c r="T27" s="33">
        <f>IF($E27="","",ROUND($E27*$J27*(1+$K27/100),2))</f>
        <v>7890.96</v>
      </c>
      <c r="U27" s="33">
        <f>IF($E27="","",ROUND(IF($N27&lt;&gt;"",$E27*$N27,$Q27)*IF($L27="",0,IFERROR(INDEX(Rates!$C$27:$C$32,MATCH($L27,Rates!$B$27:$B$32,0)),0)),2))</f>
        <v>908.78</v>
      </c>
      <c r="V27" s="33">
        <f>IF($E27="","",ROUND($S27+$T27+$U27,2))</f>
        <v>10322.89</v>
      </c>
      <c r="W27" s="33">
        <f>IF($E27="","",IF($E27=0,0,ROUND($V27/$E27,2)))</f>
        <v>28.2</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02 290</t>
        </is>
      </c>
      <c r="C28" s="36" t="inlineStr">
        <is>
          <t>Site restoration</t>
        </is>
      </c>
      <c r="D28" s="37" t="inlineStr">
        <is>
          <t>Fine grade and topsoil annex footprint</t>
        </is>
      </c>
      <c r="E28" s="36" t="n">
        <v>7000</v>
      </c>
      <c r="F28" s="36" t="inlineStr">
        <is>
          <t>SF</t>
        </is>
      </c>
      <c r="G28" s="36" t="inlineStr">
        <is>
          <t>Equipment operator</t>
        </is>
      </c>
      <c r="H28" s="36" t="n">
        <v>0.00186</v>
      </c>
      <c r="I28" s="38" t="n"/>
      <c r="J28" s="38" t="n">
        <v>0.33</v>
      </c>
      <c r="K28" s="36" t="n">
        <v>10</v>
      </c>
      <c r="L28" s="36" t="inlineStr">
        <is>
          <t>Skid steer</t>
        </is>
      </c>
      <c r="M28" s="36" t="inlineStr">
        <is>
          <t>Annex</t>
        </is>
      </c>
      <c r="N28" s="36" t="n">
        <v>0.00139</v>
      </c>
      <c r="O28" s="36" t="n"/>
      <c r="P28" s="37" t="n"/>
      <c r="Q28" s="33">
        <f>IF($E28="","",$E28*$H28)</f>
        <v>13.020000000000001</v>
      </c>
      <c r="R28" s="33">
        <f>IF($E28="","",IF($I28&lt;&gt;"",$I28,IF($G28="",Rates!$C$23,IFERROR(INDEX(Rates!$C$13:$C$22,MATCH($G28,Rates!$B$13:$B$22,0)),Rates!$C$23))))</f>
        <v>68</v>
      </c>
      <c r="S28" s="33">
        <f>IF($E28="","",ROUND($Q28*$R28,2))</f>
        <v>885.36</v>
      </c>
      <c r="T28" s="33">
        <f>IF($E28="","",ROUND($E28*$J28*(1+$K28/100),2))</f>
        <v>2541</v>
      </c>
      <c r="U28" s="33">
        <f>IF($E28="","",ROUND(IF($N28&lt;&gt;"",$E28*$N28,$Q28)*IF($L28="",0,IFERROR(INDEX(Rates!$C$27:$C$32,MATCH($L28,Rates!$B$27:$B$32,0)),0)),2))</f>
        <v>632.45</v>
      </c>
      <c r="V28" s="33">
        <f>IF($E28="","",ROUND($S28+$T28+$U28,2))</f>
        <v>4058.81</v>
      </c>
      <c r="W28" s="33">
        <f>IF($E28="","",IF($E28=0,0,ROUND($V28/$E28,2)))</f>
        <v>0.58</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02 170</t>
        </is>
      </c>
      <c r="C29" s="22" t="inlineStr">
        <is>
          <t>Site restoration</t>
        </is>
      </c>
      <c r="D29" s="31" t="inlineStr">
        <is>
          <t>Remove asphalt walkway to annex</t>
        </is>
      </c>
      <c r="E29" s="22" t="n">
        <v>1940</v>
      </c>
      <c r="F29" s="22" t="inlineStr">
        <is>
          <t>SF</t>
        </is>
      </c>
      <c r="G29" s="22" t="inlineStr">
        <is>
          <t>Equipment operator</t>
        </is>
      </c>
      <c r="H29" s="22" t="n">
        <v>0.00372</v>
      </c>
      <c r="I29" s="32" t="n"/>
      <c r="J29" s="32" t="n">
        <v>0</v>
      </c>
      <c r="K29" s="22" t="n">
        <v>0</v>
      </c>
      <c r="L29" s="22" t="inlineStr">
        <is>
          <t>Skid steer</t>
        </is>
      </c>
      <c r="M29" s="22" t="inlineStr">
        <is>
          <t>Site</t>
        </is>
      </c>
      <c r="N29" s="22" t="n">
        <v>0.00279</v>
      </c>
      <c r="O29" s="22" t="n"/>
      <c r="P29" s="31" t="n"/>
      <c r="Q29" s="33">
        <f>IF($E29="","",$E29*$H29)</f>
        <v>7.2168</v>
      </c>
      <c r="R29" s="33">
        <f>IF($E29="","",IF($I29&lt;&gt;"",$I29,IF($G29="",Rates!$C$23,IFERROR(INDEX(Rates!$C$13:$C$22,MATCH($G29,Rates!$B$13:$B$22,0)),Rates!$C$23))))</f>
        <v>68</v>
      </c>
      <c r="S29" s="33">
        <f>IF($E29="","",ROUND($Q29*$R29,2))</f>
        <v>490.74</v>
      </c>
      <c r="T29" s="33">
        <f>IF($E29="","",ROUND($E29*$J29*(1+$K29/100),2))</f>
        <v>0</v>
      </c>
      <c r="U29" s="33">
        <f>IF($E29="","",ROUND(IF($N29&lt;&gt;"",$E29*$N29,$Q29)*IF($L29="",0,IFERROR(INDEX(Rates!$C$27:$C$32,MATCH($L29,Rates!$B$27:$B$32,0)),0)),2))</f>
        <v>351.82</v>
      </c>
      <c r="V29" s="33">
        <f>IF($E29="","",ROUND($S29+$T29+$U29,2))</f>
        <v>842.56</v>
      </c>
      <c r="W29" s="33">
        <f>IF($E29="","",IF($E29=0,0,ROUND($V29/$E29,2)))</f>
        <v>0.43</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01 270</t>
        </is>
      </c>
      <c r="C30" s="36" t="inlineStr">
        <is>
          <t>General</t>
        </is>
      </c>
      <c r="D30" s="37" t="inlineStr">
        <is>
          <t>Protection to existing finishes, lobby and stairs</t>
        </is>
      </c>
      <c r="E30" s="36" t="n">
        <v>4310</v>
      </c>
      <c r="F30" s="36" t="inlineStr">
        <is>
          <t>SF</t>
        </is>
      </c>
      <c r="G30" s="36" t="inlineStr">
        <is>
          <t>Demolition laborer</t>
        </is>
      </c>
      <c r="H30" s="36" t="n">
        <v>0.00279</v>
      </c>
      <c r="I30" s="38" t="n"/>
      <c r="J30" s="38" t="n">
        <v>0.21</v>
      </c>
      <c r="K30" s="36" t="n">
        <v>10</v>
      </c>
      <c r="L30" s="36" t="n"/>
      <c r="M30" s="36" t="inlineStr">
        <is>
          <t>Level 1</t>
        </is>
      </c>
      <c r="N30" s="36" t="n"/>
      <c r="O30" s="36" t="n"/>
      <c r="P30" s="37" t="n"/>
      <c r="Q30" s="33">
        <f>IF($E30="","",$E30*$H30)</f>
        <v>12.0249</v>
      </c>
      <c r="R30" s="33">
        <f>IF($E30="","",IF($I30&lt;&gt;"",$I30,IF($G30="",Rates!$C$23,IFERROR(INDEX(Rates!$C$13:$C$22,MATCH($G30,Rates!$B$13:$B$22,0)),Rates!$C$23))))</f>
        <v>45</v>
      </c>
      <c r="S30" s="33">
        <f>IF($E30="","",ROUND($Q30*$R30,2))</f>
        <v>541.12</v>
      </c>
      <c r="T30" s="33">
        <f>IF($E30="","",ROUND($E30*$J30*(1+$K30/100),2))</f>
        <v>995.61</v>
      </c>
      <c r="U30" s="33">
        <f>IF($E30="","",ROUND(IF($N30&lt;&gt;"",$E30*$N30,$Q30)*IF($L30="",0,IFERROR(INDEX(Rates!$C$27:$C$32,MATCH($L30,Rates!$B$27:$B$32,0)),0)),2))</f>
        <v>0</v>
      </c>
      <c r="V30" s="33">
        <f>IF($E30="","",ROUND($S30+$T30+$U30,2))</f>
        <v>1536.73</v>
      </c>
      <c r="W30" s="33">
        <f>IF($E30="","",IF($E30=0,0,ROUND($V30/$E30,2)))</f>
        <v>0.36</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02 120</t>
        </is>
      </c>
      <c r="C31" s="22" t="inlineStr">
        <is>
          <t>General</t>
        </is>
      </c>
      <c r="D31" s="31" t="inlineStr">
        <is>
          <t>Dust partition, poly on metal studs</t>
        </is>
      </c>
      <c r="E31" s="22" t="n">
        <v>2370</v>
      </c>
      <c r="F31" s="22" t="inlineStr">
        <is>
          <t>SF</t>
        </is>
      </c>
      <c r="G31" s="22" t="inlineStr">
        <is>
          <t>Carpenter</t>
        </is>
      </c>
      <c r="H31" s="22" t="n">
        <v>0.0139</v>
      </c>
      <c r="I31" s="32" t="n"/>
      <c r="J31" s="32" t="n">
        <v>0.67</v>
      </c>
      <c r="K31" s="22" t="n">
        <v>10</v>
      </c>
      <c r="L31" s="22" t="n"/>
      <c r="M31" s="22" t="inlineStr">
        <is>
          <t>Level 1</t>
        </is>
      </c>
      <c r="N31" s="22" t="n"/>
      <c r="O31" s="22" t="n"/>
      <c r="P31" s="31" t="n"/>
      <c r="Q31" s="33">
        <f>IF($E31="","",$E31*$H31)</f>
        <v>32.943</v>
      </c>
      <c r="R31" s="33">
        <f>IF($E31="","",IF($I31&lt;&gt;"",$I31,IF($G31="",Rates!$C$23,IFERROR(INDEX(Rates!$C$13:$C$22,MATCH($G31,Rates!$B$13:$B$22,0)),Rates!$C$23))))</f>
        <v>62</v>
      </c>
      <c r="S31" s="33">
        <f>IF($E31="","",ROUND($Q31*$R31,2))</f>
        <v>2042.47</v>
      </c>
      <c r="T31" s="33">
        <f>IF($E31="","",ROUND($E31*$J31*(1+$K31/100),2))</f>
        <v>1746.69</v>
      </c>
      <c r="U31" s="33">
        <f>IF($E31="","",ROUND(IF($N31&lt;&gt;"",$E31*$N31,$Q31)*IF($L31="",0,IFERROR(INDEX(Rates!$C$27:$C$32,MATCH($L31,Rates!$B$27:$B$32,0)),0)),2))</f>
        <v>0</v>
      </c>
      <c r="V31" s="33">
        <f>IF($E31="","",ROUND($S31+$T31+$U31,2))</f>
        <v>3789.16</v>
      </c>
      <c r="W31" s="33">
        <f>IF($E31="","",IF($E31=0,0,ROUND($V31/$E31,2)))</f>
        <v>1.6</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02 120</t>
        </is>
      </c>
      <c r="C32" s="36" t="inlineStr">
        <is>
          <t>General</t>
        </is>
      </c>
      <c r="D32" s="37" t="inlineStr">
        <is>
          <t>Dust partition, poly on metal studs</t>
        </is>
      </c>
      <c r="E32" s="36" t="n">
        <v>1940</v>
      </c>
      <c r="F32" s="36" t="inlineStr">
        <is>
          <t>SF</t>
        </is>
      </c>
      <c r="G32" s="36" t="inlineStr">
        <is>
          <t>Carpenter</t>
        </is>
      </c>
      <c r="H32" s="36" t="n">
        <v>0.0139</v>
      </c>
      <c r="I32" s="38" t="n"/>
      <c r="J32" s="38" t="n">
        <v>0.67</v>
      </c>
      <c r="K32" s="36" t="n">
        <v>10</v>
      </c>
      <c r="L32" s="36" t="n"/>
      <c r="M32" s="36" t="inlineStr">
        <is>
          <t>Level 2</t>
        </is>
      </c>
      <c r="N32" s="36" t="n"/>
      <c r="O32" s="36" t="n"/>
      <c r="P32" s="37" t="n"/>
      <c r="Q32" s="33">
        <f>IF($E32="","",$E32*$H32)</f>
        <v>26.965999999999998</v>
      </c>
      <c r="R32" s="33">
        <f>IF($E32="","",IF($I32&lt;&gt;"",$I32,IF($G32="",Rates!$C$23,IFERROR(INDEX(Rates!$C$13:$C$22,MATCH($G32,Rates!$B$13:$B$22,0)),Rates!$C$23))))</f>
        <v>62</v>
      </c>
      <c r="S32" s="33">
        <f>IF($E32="","",ROUND($Q32*$R32,2))</f>
        <v>1671.89</v>
      </c>
      <c r="T32" s="33">
        <f>IF($E32="","",ROUND($E32*$J32*(1+$K32/100),2))</f>
        <v>1429.78</v>
      </c>
      <c r="U32" s="33">
        <f>IF($E32="","",ROUND(IF($N32&lt;&gt;"",$E32*$N32,$Q32)*IF($L32="",0,IFERROR(INDEX(Rates!$C$27:$C$32,MATCH($L32,Rates!$B$27:$B$32,0)),0)),2))</f>
        <v>0</v>
      </c>
      <c r="V32" s="33">
        <f>IF($E32="","",ROUND($S32+$T32+$U32,2))</f>
        <v>3101.67</v>
      </c>
      <c r="W32" s="33">
        <f>IF($E32="","",IF($E32=0,0,ROUND($V32/$E32,2)))</f>
        <v>1.6</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02 120</t>
        </is>
      </c>
      <c r="C33" s="22" t="inlineStr">
        <is>
          <t>General</t>
        </is>
      </c>
      <c r="D33" s="31" t="inlineStr">
        <is>
          <t>Temporary fence around annex</t>
        </is>
      </c>
      <c r="E33" s="22" t="n">
        <v>394</v>
      </c>
      <c r="F33" s="22" t="inlineStr">
        <is>
          <t>LF</t>
        </is>
      </c>
      <c r="G33" s="22" t="inlineStr">
        <is>
          <t>Demolition laborer</t>
        </is>
      </c>
      <c r="H33" s="22" t="n">
        <v>0.0183</v>
      </c>
      <c r="I33" s="32" t="n"/>
      <c r="J33" s="32" t="n">
        <v>3.41</v>
      </c>
      <c r="K33" s="22" t="n">
        <v>0</v>
      </c>
      <c r="L33" s="22" t="n"/>
      <c r="M33" s="22" t="inlineStr">
        <is>
          <t>Site</t>
        </is>
      </c>
      <c r="N33" s="22" t="n"/>
      <c r="O33" s="22" t="n"/>
      <c r="P33" s="31" t="n"/>
      <c r="Q33" s="33">
        <f>IF($E33="","",$E33*$H33)</f>
        <v>7.2102</v>
      </c>
      <c r="R33" s="33">
        <f>IF($E33="","",IF($I33&lt;&gt;"",$I33,IF($G33="",Rates!$C$23,IFERROR(INDEX(Rates!$C$13:$C$22,MATCH($G33,Rates!$B$13:$B$22,0)),Rates!$C$23))))</f>
        <v>45</v>
      </c>
      <c r="S33" s="33">
        <f>IF($E33="","",ROUND($Q33*$R33,2))</f>
        <v>324.46</v>
      </c>
      <c r="T33" s="33">
        <f>IF($E33="","",ROUND($E33*$J33*(1+$K33/100),2))</f>
        <v>1343.54</v>
      </c>
      <c r="U33" s="33">
        <f>IF($E33="","",ROUND(IF($N33&lt;&gt;"",$E33*$N33,$Q33)*IF($L33="",0,IFERROR(INDEX(Rates!$C$27:$C$32,MATCH($L33,Rates!$B$27:$B$32,0)),0)),2))</f>
        <v>0</v>
      </c>
      <c r="V33" s="33">
        <f>IF($E33="","",ROUND($S33+$T33+$U33,2))</f>
        <v>1668</v>
      </c>
      <c r="W33" s="33">
        <f>IF($E33="","",IF($E33=0,0,ROUND($V33/$E33,2)))</f>
        <v>4.23</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inlineStr">
        <is>
          <t>02 290</t>
        </is>
      </c>
      <c r="C34" s="36" t="inlineStr">
        <is>
          <t>General</t>
        </is>
      </c>
      <c r="D34" s="37" t="inlineStr">
        <is>
          <t>Sweep and broom-clean for turnover</t>
        </is>
      </c>
      <c r="E34" s="36" t="n">
        <v>38750</v>
      </c>
      <c r="F34" s="36" t="inlineStr">
        <is>
          <t>SF</t>
        </is>
      </c>
      <c r="G34" s="36" t="inlineStr">
        <is>
          <t>Demolition laborer</t>
        </is>
      </c>
      <c r="H34" s="36" t="n">
        <v>0.000743</v>
      </c>
      <c r="I34" s="38" t="n"/>
      <c r="J34" s="38" t="n">
        <v>0</v>
      </c>
      <c r="K34" s="36" t="n">
        <v>0</v>
      </c>
      <c r="L34" s="36" t="n"/>
      <c r="M34" s="36" t="inlineStr">
        <is>
          <t>Level 1</t>
        </is>
      </c>
      <c r="N34" s="36" t="n"/>
      <c r="O34" s="36" t="n"/>
      <c r="P34" s="37" t="n"/>
      <c r="Q34" s="33">
        <f>IF($E34="","",$E34*$H34)</f>
        <v>28.791249999999998</v>
      </c>
      <c r="R34" s="33">
        <f>IF($E34="","",IF($I34&lt;&gt;"",$I34,IF($G34="",Rates!$C$23,IFERROR(INDEX(Rates!$C$13:$C$22,MATCH($G34,Rates!$B$13:$B$22,0)),Rates!$C$23))))</f>
        <v>45</v>
      </c>
      <c r="S34" s="33">
        <f>IF($E34="","",ROUND($Q34*$R34,2))</f>
        <v>1295.61</v>
      </c>
      <c r="T34" s="33">
        <f>IF($E34="","",ROUND($E34*$J34*(1+$K34/100),2))</f>
        <v>0</v>
      </c>
      <c r="U34" s="33">
        <f>IF($E34="","",ROUND(IF($N34&lt;&gt;"",$E34*$N34,$Q34)*IF($L34="",0,IFERROR(INDEX(Rates!$C$27:$C$32,MATCH($L34,Rates!$B$27:$B$32,0)),0)),2))</f>
        <v>0</v>
      </c>
      <c r="V34" s="33">
        <f>IF($E34="","",ROUND($S34+$T34+$U34,2))</f>
        <v>1295.61</v>
      </c>
      <c r="W34" s="33">
        <f>IF($E34="","",IF($E34=0,0,ROUND($V34/$E34,2)))</f>
        <v>0.03</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inlineStr">
        <is>
          <t>02 290</t>
        </is>
      </c>
      <c r="C35" s="22" t="inlineStr">
        <is>
          <t>General</t>
        </is>
      </c>
      <c r="D35" s="31" t="inlineStr">
        <is>
          <t>Sweep and broom-clean for turnover</t>
        </is>
      </c>
      <c r="E35" s="22" t="n">
        <v>37150</v>
      </c>
      <c r="F35" s="22" t="inlineStr">
        <is>
          <t>SF</t>
        </is>
      </c>
      <c r="G35" s="22" t="inlineStr">
        <is>
          <t>Demolition laborer</t>
        </is>
      </c>
      <c r="H35" s="22" t="n">
        <v>0.000743</v>
      </c>
      <c r="I35" s="32" t="n"/>
      <c r="J35" s="32" t="n">
        <v>0</v>
      </c>
      <c r="K35" s="22" t="n">
        <v>0</v>
      </c>
      <c r="L35" s="22" t="n"/>
      <c r="M35" s="22" t="inlineStr">
        <is>
          <t>Level 2</t>
        </is>
      </c>
      <c r="N35" s="22" t="n"/>
      <c r="O35" s="22" t="n"/>
      <c r="P35" s="31" t="n"/>
      <c r="Q35" s="33">
        <f>IF($E35="","",$E35*$H35)</f>
        <v>27.602449999999997</v>
      </c>
      <c r="R35" s="33">
        <f>IF($E35="","",IF($I35&lt;&gt;"",$I35,IF($G35="",Rates!$C$23,IFERROR(INDEX(Rates!$C$13:$C$22,MATCH($G35,Rates!$B$13:$B$22,0)),Rates!$C$23))))</f>
        <v>45</v>
      </c>
      <c r="S35" s="33">
        <f>IF($E35="","",ROUND($Q35*$R35,2))</f>
        <v>1242.11</v>
      </c>
      <c r="T35" s="33">
        <f>IF($E35="","",ROUND($E35*$J35*(1+$K35/100),2))</f>
        <v>0</v>
      </c>
      <c r="U35" s="33">
        <f>IF($E35="","",ROUND(IF($N35&lt;&gt;"",$E35*$N35,$Q35)*IF($L35="",0,IFERROR(INDEX(Rates!$C$27:$C$32,MATCH($L35,Rates!$B$27:$B$32,0)),0)),2))</f>
        <v>0</v>
      </c>
      <c r="V35" s="33">
        <f>IF($E35="","",ROUND($S35+$T35+$U35,2))</f>
        <v>1242.11</v>
      </c>
      <c r="W35" s="33">
        <f>IF($E35="","",IF($E35=0,0,ROUND($V35/$E35,2)))</f>
        <v>0.03</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2034.2512</v>
      </c>
      <c r="S68" s="41">
        <f>ROUND(SUMIF($O$7:$O$66,"&lt;&gt;Yes",$S$7:$S$66),2)</f>
        <v>102053.5</v>
      </c>
      <c r="T68" s="41">
        <f>ROUND(SUMIF($O$7:$O$66,"&lt;&gt;Yes",$T$7:$T$66),2)</f>
        <v>18801.98</v>
      </c>
      <c r="U68" s="41">
        <f>ROUND(SUMIF($O$7:$O$66,"&lt;&gt;Yes",$U$7:$U$66),2)</f>
        <v>28384.82</v>
      </c>
      <c r="V68" s="41">
        <f>ROUND(SUMIF($O$7:$O$66,"&lt;&gt;Yes",$V$7:$V$66),2)</f>
        <v>149240.3</v>
      </c>
    </row>
    <row r="69">
      <c r="M69" s="42" t="inlineStr">
        <is>
          <t>Total of lines left out (Excluded = Yes)</t>
        </is>
      </c>
      <c r="V69" s="43">
        <f>ROUND(SUMIF($O$7:$O$66,"Yes",$V$7:$V$66),2)</f>
        <v>2025.36</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02 250</t>
        </is>
      </c>
      <c r="C7" s="22" t="inlineStr">
        <is>
          <t>Disposal and recycling, roll-off dumpsters and hauling</t>
        </is>
      </c>
      <c r="D7" s="22" t="inlineStr">
        <is>
          <t>Yes</t>
        </is>
      </c>
      <c r="E7" s="46" t="inlineStr">
        <is>
          <t>Bidder A</t>
        </is>
      </c>
      <c r="F7" s="23" t="n">
        <v>30800</v>
      </c>
      <c r="G7" s="46" t="inlineStr">
        <is>
          <t>Bidder B</t>
        </is>
      </c>
      <c r="H7" s="23" t="n">
        <v>27900</v>
      </c>
      <c r="I7" s="46" t="inlineStr">
        <is>
          <t>Bidder C</t>
        </is>
      </c>
      <c r="J7" s="23" t="n">
        <v>29000</v>
      </c>
      <c r="K7" s="46" t="n"/>
      <c r="L7" s="23" t="n"/>
      <c r="M7" s="46" t="n"/>
      <c r="N7" s="23" t="n"/>
      <c r="O7" s="22" t="inlineStr">
        <is>
          <t>Bidder A: Incl. recycling tickets. Bidder C: Concrete crushed on site</t>
        </is>
      </c>
      <c r="P7" s="33">
        <f>IF(OR($C7="",((N($F7)&gt;0)+(N($H7)&gt;0)+(N($J7)&gt;0)+(N($L7)&gt;0))=0),"",MIN(IF(N($F7)&gt;0,$F7,1E+99),IF(N($H7)&gt;0,$H7,1E+99),IF(N($J7)&gt;0,$J7,1E+99),IF(N($L7)&gt;0,$L7,1E+99)))</f>
        <v>27900</v>
      </c>
      <c r="Q7" s="47">
        <f>IF(OR($C7="",$P7=""),"",IF(IF(ISNUMBER($M7),IF(AND($M7&gt;=1,$M7&lt;=4,$M7=INT($M7)),N(CHOOSE($M7,$F7,$H7,$J7,$L7))&gt;0,FALSE),FALSE),$M7,IF(N($F7)=$P7,1,IF(N($H7)=$P7,2,IF(N($J7)=$P7,3,4)))))</f>
        <v>2</v>
      </c>
      <c r="R7" s="48" t="str">
        <f>IF($C7="","",IF($Q7="","Allowance",IF(CHOOSE($Q7,$E7,$G7,$I7,$K7)="","Quote "&amp;$Q7,CHOOSE($Q7,$E7,$G7,$I7,$K7))))</f>
        <v>Bidder B</v>
      </c>
      <c r="S7" s="33">
        <f>IF($C7="","",IF($Q7="",N($N7),CHOOSE($Q7,$F7,$H7,$J7,$L7)))</f>
        <v>27900</v>
      </c>
      <c r="T7" s="33">
        <f>IF($C7="","",IF($D7="No",0,$S7))</f>
        <v>27900</v>
      </c>
    </row>
    <row r="8">
      <c r="B8" s="36" t="inlineStr">
        <is>
          <t>02 110</t>
        </is>
      </c>
      <c r="C8" s="36" t="inlineStr">
        <is>
          <t>Electrical make-safe and temporary lighting</t>
        </is>
      </c>
      <c r="D8" s="36" t="inlineStr">
        <is>
          <t>Yes</t>
        </is>
      </c>
      <c r="E8" s="49" t="inlineStr">
        <is>
          <t>Bidder A</t>
        </is>
      </c>
      <c r="F8" s="50" t="n">
        <v>6880</v>
      </c>
      <c r="G8" s="49" t="inlineStr">
        <is>
          <t>Bidder B</t>
        </is>
      </c>
      <c r="H8" s="50" t="n">
        <v>7360</v>
      </c>
      <c r="I8" s="49" t="inlineStr">
        <is>
          <t>Bidder C</t>
        </is>
      </c>
      <c r="J8" s="50" t="n"/>
      <c r="K8" s="49" t="n"/>
      <c r="L8" s="50" t="n"/>
      <c r="M8" s="49" t="n"/>
      <c r="N8" s="50" t="n"/>
      <c r="O8" s="36" t="inlineStr">
        <is>
          <t>Bidder A: Incl. temporary lighting. Bidder C: Declined</t>
        </is>
      </c>
      <c r="P8" s="33">
        <f>IF(OR($C8="",((N($F8)&gt;0)+(N($H8)&gt;0)+(N($J8)&gt;0)+(N($L8)&gt;0))=0),"",MIN(IF(N($F8)&gt;0,$F8,1E+99),IF(N($H8)&gt;0,$H8,1E+99),IF(N($J8)&gt;0,$J8,1E+99),IF(N($L8)&gt;0,$L8,1E+99)))</f>
        <v>6880</v>
      </c>
      <c r="Q8" s="47">
        <f>IF(OR($C8="",$P8=""),"",IF(IF(ISNUMBER($M8),IF(AND($M8&gt;=1,$M8&lt;=4,$M8=INT($M8)),N(CHOOSE($M8,$F8,$H8,$J8,$L8))&gt;0,FALSE),FALSE),$M8,IF(N($F8)=$P8,1,IF(N($H8)=$P8,2,IF(N($J8)=$P8,3,4)))))</f>
        <v>1</v>
      </c>
      <c r="R8" s="48" t="str">
        <f>IF($C8="","",IF($Q8="","Allowance",IF(CHOOSE($Q8,$E8,$G8,$I8,$K8)="","Quote "&amp;$Q8,CHOOSE($Q8,$E8,$G8,$I8,$K8))))</f>
        <v>Bidder A</v>
      </c>
      <c r="S8" s="33">
        <f>IF($C8="","",IF($Q8="",N($N8),CHOOSE($Q8,$F8,$H8,$J8,$L8)))</f>
        <v>6880</v>
      </c>
      <c r="T8" s="33">
        <f>IF($C8="","",IF($D8="No",0,$S8))</f>
        <v>6880</v>
      </c>
    </row>
    <row r="9">
      <c r="B9" s="22" t="inlineStr">
        <is>
          <t>02 220</t>
        </is>
      </c>
      <c r="C9" s="22" t="inlineStr">
        <is>
          <t>Saw-cutting at annex junction</t>
        </is>
      </c>
      <c r="D9" s="22" t="inlineStr">
        <is>
          <t>Yes</t>
        </is>
      </c>
      <c r="E9" s="46" t="inlineStr">
        <is>
          <t>Bidder A</t>
        </is>
      </c>
      <c r="F9" s="23" t="n">
        <v>3360</v>
      </c>
      <c r="G9" s="46" t="inlineStr">
        <is>
          <t>Bidder B</t>
        </is>
      </c>
      <c r="H9" s="23" t="n">
        <v>3120</v>
      </c>
      <c r="I9" s="46" t="n"/>
      <c r="J9" s="23" t="n"/>
      <c r="K9" s="46" t="n"/>
      <c r="L9" s="23" t="n"/>
      <c r="M9" s="46" t="n">
        <v>1</v>
      </c>
      <c r="N9" s="23" t="n"/>
      <c r="O9" s="22" t="inlineStr">
        <is>
          <t>Bidder A: Weekend cut. Bidder B: Weekdays only</t>
        </is>
      </c>
      <c r="P9" s="33">
        <f>IF(OR($C9="",((N($F9)&gt;0)+(N($H9)&gt;0)+(N($J9)&gt;0)+(N($L9)&gt;0))=0),"",MIN(IF(N($F9)&gt;0,$F9,1E+99),IF(N($H9)&gt;0,$H9,1E+99),IF(N($J9)&gt;0,$J9,1E+99),IF(N($L9)&gt;0,$L9,1E+99)))</f>
        <v>3120</v>
      </c>
      <c r="Q9" s="47">
        <f>IF(OR($C9="",$P9=""),"",IF(IF(ISNUMBER($M9),IF(AND($M9&gt;=1,$M9&lt;=4,$M9=INT($M9)),N(CHOOSE($M9,$F9,$H9,$J9,$L9))&gt;0,FALSE),FALSE),$M9,IF(N($F9)=$P9,1,IF(N($H9)=$P9,2,IF(N($J9)=$P9,3,4)))))</f>
        <v>1</v>
      </c>
      <c r="R9" s="48" t="str">
        <f>IF($C9="","",IF($Q9="","Allowance",IF(CHOOSE($Q9,$E9,$G9,$I9,$K9)="","Quote "&amp;$Q9,CHOOSE($Q9,$E9,$G9,$I9,$K9))))</f>
        <v>Bidder A</v>
      </c>
      <c r="S9" s="33">
        <f>IF($C9="","",IF($Q9="",N($N9),CHOOSE($Q9,$F9,$H9,$J9,$L9)))</f>
        <v>3360</v>
      </c>
      <c r="T9" s="33">
        <f>IF($C9="","",IF($D9="No",0,$S9))</f>
        <v>3360</v>
      </c>
    </row>
    <row r="10">
      <c r="B10" s="36" t="inlineStr">
        <is>
          <t>01 340</t>
        </is>
      </c>
      <c r="C10" s="36" t="inlineStr">
        <is>
          <t>Unforeseen buried footings, allowance</t>
        </is>
      </c>
      <c r="D10" s="36" t="inlineStr">
        <is>
          <t>Yes</t>
        </is>
      </c>
      <c r="E10" s="49" t="n"/>
      <c r="F10" s="50" t="n"/>
      <c r="G10" s="49" t="n"/>
      <c r="H10" s="50" t="n"/>
      <c r="I10" s="49" t="n"/>
      <c r="J10" s="50" t="n"/>
      <c r="K10" s="49" t="n"/>
      <c r="L10" s="50" t="n"/>
      <c r="M10" s="49" t="n"/>
      <c r="N10" s="50" t="n">
        <v>4800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4800</v>
      </c>
      <c r="T10" s="33">
        <f>IF($C10="","",IF($D10="No",0,$S10))</f>
        <v>4800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42940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Superintendent</t>
        </is>
      </c>
      <c r="D7" s="22" t="inlineStr">
        <is>
          <t>wk</t>
        </is>
      </c>
      <c r="E7" s="22" t="inlineStr">
        <is>
          <t>Yes</t>
        </is>
      </c>
      <c r="F7" s="22" t="n"/>
      <c r="G7" s="23" t="n">
        <v>1450</v>
      </c>
      <c r="H7" s="52">
        <f>IF($C7="","",IF(AND($E7="Yes",$D7="wk"),Rates!$C$9,IF(AND($E7="Yes",$D7="mo"),Rates!$C$9/(52/12),N($F7))))</f>
        <v>7</v>
      </c>
      <c r="I7" s="33">
        <f>IF($C7="","",ROUND($H7*N($G7),2))</f>
        <v>10150</v>
      </c>
    </row>
    <row r="8" ht="16.5" customHeight="1">
      <c r="B8" s="36" t="inlineStr">
        <is>
          <t>02 120</t>
        </is>
      </c>
      <c r="C8" s="36" t="inlineStr">
        <is>
          <t>Dust control and temporary barriers</t>
        </is>
      </c>
      <c r="D8" s="36" t="inlineStr">
        <is>
          <t>LS</t>
        </is>
      </c>
      <c r="E8" s="36" t="n"/>
      <c r="F8" s="36" t="n">
        <v>1</v>
      </c>
      <c r="G8" s="50" t="n">
        <v>5100</v>
      </c>
      <c r="H8" s="52">
        <f>IF($C8="","",IF(AND($E8="Yes",$D8="wk"),Rates!$C$9,IF(AND($E8="Yes",$D8="mo"),Rates!$C$9/(52/12),N($F8))))</f>
        <v>1</v>
      </c>
      <c r="I8" s="33">
        <f>IF($C8="","",ROUND($H8*N($G8),2))</f>
        <v>5100</v>
      </c>
    </row>
    <row r="9" ht="16.5" customHeight="1">
      <c r="B9" s="22" t="inlineStr">
        <is>
          <t>01 100</t>
        </is>
      </c>
      <c r="C9" s="22" t="inlineStr">
        <is>
          <t>Project manager, part time</t>
        </is>
      </c>
      <c r="D9" s="22" t="inlineStr">
        <is>
          <t>mo</t>
        </is>
      </c>
      <c r="E9" s="22" t="inlineStr">
        <is>
          <t>Yes</t>
        </is>
      </c>
      <c r="F9" s="22" t="n"/>
      <c r="G9" s="23" t="n">
        <v>2080</v>
      </c>
      <c r="H9" s="52">
        <f>IF($C9="","",IF(AND($E9="Yes",$D9="wk"),Rates!$C$9,IF(AND($E9="Yes",$D9="mo"),Rates!$C$9/(52/12),N($F9))))</f>
        <v>1.6153846153846154</v>
      </c>
      <c r="I9" s="33">
        <f>IF($C9="","",ROUND($H9*N($G9),2))</f>
        <v>3360</v>
      </c>
    </row>
    <row r="10" ht="16.5" customHeight="1">
      <c r="B10" s="36" t="inlineStr">
        <is>
          <t>01 290</t>
        </is>
      </c>
      <c r="C10" s="36" t="inlineStr">
        <is>
          <t>Small tools, saws and consumables</t>
        </is>
      </c>
      <c r="D10" s="36" t="inlineStr">
        <is>
          <t>wk</t>
        </is>
      </c>
      <c r="E10" s="36" t="inlineStr">
        <is>
          <t>Yes</t>
        </is>
      </c>
      <c r="F10" s="36" t="n"/>
      <c r="G10" s="50" t="n">
        <v>176</v>
      </c>
      <c r="H10" s="52">
        <f>IF($C10="","",IF(AND($E10="Yes",$D10="wk"),Rates!$C$9,IF(AND($E10="Yes",$D10="mo"),Rates!$C$9/(52/12),N($F10))))</f>
        <v>7</v>
      </c>
      <c r="I10" s="33">
        <f>IF($C10="","",ROUND($H10*N($G10),2))</f>
        <v>1232</v>
      </c>
    </row>
    <row r="11" ht="16.5" customHeight="1">
      <c r="B11" s="22" t="inlineStr">
        <is>
          <t>01 190</t>
        </is>
      </c>
      <c r="C11" s="22" t="inlineStr">
        <is>
          <t>Demolition permit and notices</t>
        </is>
      </c>
      <c r="D11" s="22" t="inlineStr">
        <is>
          <t>LS</t>
        </is>
      </c>
      <c r="E11" s="22" t="n"/>
      <c r="F11" s="22" t="n">
        <v>1</v>
      </c>
      <c r="G11" s="23" t="n">
        <v>1200</v>
      </c>
      <c r="H11" s="52">
        <f>IF($C11="","",IF(AND($E11="Yes",$D11="wk"),Rates!$C$9,IF(AND($E11="Yes",$D11="mo"),Rates!$C$9/(52/12),N($F11))))</f>
        <v>1</v>
      </c>
      <c r="I11" s="33">
        <f>IF($C11="","",ROUND($H11*N($G11),2))</f>
        <v>1200</v>
      </c>
    </row>
    <row r="12" ht="16.5" customHeight="1">
      <c r="B12" s="36" t="inlineStr">
        <is>
          <t>01 110</t>
        </is>
      </c>
      <c r="C12" s="36" t="inlineStr">
        <is>
          <t>Mobilization and demobilization</t>
        </is>
      </c>
      <c r="D12" s="36" t="inlineStr">
        <is>
          <t>LS</t>
        </is>
      </c>
      <c r="E12" s="36" t="n"/>
      <c r="F12" s="36" t="n">
        <v>1</v>
      </c>
      <c r="G12" s="50" t="n">
        <v>3040</v>
      </c>
      <c r="H12" s="52">
        <f>IF($C12="","",IF(AND($E12="Yes",$D12="wk"),Rates!$C$9,IF(AND($E12="Yes",$D12="mo"),Rates!$C$9/(52/12),N($F12))))</f>
        <v>1</v>
      </c>
      <c r="I12" s="33">
        <f>IF($C12="","",ROUND($H12*N($G12),2))</f>
        <v>3040</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24082</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Office interior demo and annex teardown (example)</v>
      </c>
    </row>
    <row r="6">
      <c r="B6" s="53" t="inlineStr">
        <is>
          <t>Location | Bid due | Length</t>
        </is>
      </c>
      <c r="C6" s="53" t="str">
        <f>IF(Rates!$C$7="","",Rates!$C$7)&amp;IF(Rates!$C$8="",""," | "&amp;TEXT(Rates!$C$8,"mm/dd/yyyy"))&amp;IF(Rates!$C$9="",""," | "&amp;Rates!$C$9&amp;" weeks")</f>
        <v>Dayton, OH | 12/02/2026 | 7 weeks</v>
      </c>
    </row>
    <row r="7"/>
    <row r="8" ht="18" customHeight="1">
      <c r="B8" s="20" t="inlineStr">
        <is>
          <t>Item</t>
        </is>
      </c>
      <c r="C8" s="21" t="inlineStr">
        <is>
          <t>Amount</t>
        </is>
      </c>
      <c r="D8" s="20" t="inlineStr">
        <is>
          <t>How it is worked out</t>
        </is>
      </c>
    </row>
    <row r="9" ht="18" customHeight="1">
      <c r="B9" s="24" t="inlineStr">
        <is>
          <t>Own work</t>
        </is>
      </c>
      <c r="C9" s="54">
        <f>Estimate!$V$68</f>
        <v>149240.3</v>
      </c>
      <c r="D9" s="55" t="inlineStr">
        <is>
          <t>The lines on the Estimate tab, apart from any marked Excluded.</t>
        </is>
      </c>
    </row>
    <row r="10" ht="18" customHeight="1">
      <c r="B10" s="56" t="inlineStr">
        <is>
          <t>Labor</t>
        </is>
      </c>
      <c r="C10" s="43">
        <f>Estimate!$S$68</f>
        <v>102053.5</v>
      </c>
      <c r="D10" s="55" t="inlineStr"/>
    </row>
    <row r="11" ht="18" customHeight="1">
      <c r="B11" s="56" t="inlineStr">
        <is>
          <t>Materials</t>
        </is>
      </c>
      <c r="C11" s="43">
        <f>Estimate!$T$68</f>
        <v>18801.98</v>
      </c>
      <c r="D11" s="55" t="inlineStr"/>
    </row>
    <row r="12" ht="18" customHeight="1">
      <c r="B12" s="56" t="inlineStr">
        <is>
          <t>Equipment</t>
        </is>
      </c>
      <c r="C12" s="43">
        <f>Estimate!$U$68</f>
        <v>28384.82</v>
      </c>
      <c r="D12" s="55" t="inlineStr"/>
    </row>
    <row r="13" ht="18" customHeight="1">
      <c r="B13" s="15" t="inlineStr">
        <is>
          <t>Subcontractors</t>
        </is>
      </c>
      <c r="C13" s="57">
        <f>Subcontractors!$T$16</f>
        <v>42940</v>
      </c>
      <c r="D13" s="55" t="inlineStr">
        <is>
          <t>The quote carried for each package, or its allowance.</t>
        </is>
      </c>
    </row>
    <row r="14" ht="18" customHeight="1">
      <c r="B14" s="15" t="inlineStr">
        <is>
          <t>General conditions</t>
        </is>
      </c>
      <c r="C14" s="57">
        <f>'General conditions'!$I$20</f>
        <v>24082</v>
      </c>
      <c r="D14" s="55" t="inlineStr">
        <is>
          <t>From the General conditions tab.</t>
        </is>
      </c>
    </row>
    <row r="15" ht="18" customHeight="1">
      <c r="B15" s="24" t="inlineStr">
        <is>
          <t>Direct cost</t>
        </is>
      </c>
      <c r="C15" s="54">
        <f>ROUND(C9+C13+C14,2)</f>
        <v>216262.3</v>
      </c>
      <c r="D15" s="55" t="inlineStr">
        <is>
          <t>Own work + subcontractors + general conditions</t>
        </is>
      </c>
    </row>
    <row r="16" ht="18" customHeight="1">
      <c r="B16" s="15" t="inlineStr">
        <is>
          <t>Contingency</t>
        </is>
      </c>
      <c r="C16" s="57">
        <f>ROUND(C15*Rates!$C$35/100,2)</f>
        <v>15138.36</v>
      </c>
      <c r="D16" s="55" t="str">
        <f>Rates!$C$35&amp;"% of direct cost"</f>
        <v>7% of direct cost</v>
      </c>
    </row>
    <row r="17" ht="18" customHeight="1">
      <c r="B17" s="15" t="inlineStr">
        <is>
          <t>Fee</t>
        </is>
      </c>
      <c r="C17" s="57">
        <f>ROUND(ROUND(C15+C16,2)*Rates!$C$36/100,2)</f>
        <v>27768.08</v>
      </c>
      <c r="D17" s="55" t="str">
        <f>Rates!$C$36&amp;"% of direct cost plus contingency"</f>
        <v>12% of direct cost plus contingency</v>
      </c>
    </row>
    <row r="18" ht="18" customHeight="1">
      <c r="B18" s="24" t="inlineStr">
        <is>
          <t>Subtotal before the bond</t>
        </is>
      </c>
      <c r="C18" s="54">
        <f>ROUND(C15+C16+C17,2)</f>
        <v>259168.74</v>
      </c>
      <c r="D18" s="55" t="inlineStr">
        <is>
          <t>Direct cost + contingency + fee.</t>
        </is>
      </c>
    </row>
    <row r="19" ht="18" customHeight="1">
      <c r="B19" s="15" t="inlineStr">
        <is>
          <t>Bond</t>
        </is>
      </c>
      <c r="C19" s="57">
        <f>ROUND(C18*Rates!$C$37/100,2)</f>
        <v>3887.53</v>
      </c>
      <c r="D19" s="55" t="str">
        <f>Rates!$C$37&amp;"% of the subtotal"</f>
        <v>1.5% of the subtotal</v>
      </c>
    </row>
    <row r="20" ht="18" customHeight="1">
      <c r="B20" s="15" t="inlineStr">
        <is>
          <t>Insurance</t>
        </is>
      </c>
      <c r="C20" s="57">
        <f>ROUND(C18*Rates!$C$38/100,2)</f>
        <v>2591.69</v>
      </c>
      <c r="D20" s="55" t="str">
        <f>Rates!$C$38&amp;"% of the subtotal"</f>
        <v>1% of the subtotal</v>
      </c>
    </row>
    <row r="21" ht="18" customHeight="1">
      <c r="B21" s="58" t="inlineStr">
        <is>
          <t>Bid total</t>
        </is>
      </c>
      <c r="C21" s="59">
        <f>ROUND(C18+C19+C20,2)</f>
        <v>265647.96</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0%, shown separately and not part of the bid total. Set your rate on the Rates tab.</v>
      </c>
    </row>
    <row r="23" ht="18" customHeight="1">
      <c r="B23" s="53" t="inlineStr">
        <is>
          <t>Bid total including sales tax</t>
        </is>
      </c>
      <c r="C23" s="43">
        <f>ROUND(C21+C22,2)</f>
        <v>265647.96</v>
      </c>
      <c r="D23" s="55" t="inlineStr">
        <is>
          <t>For reference.</t>
        </is>
      </c>
    </row>
    <row r="24"/>
    <row r="25">
      <c r="B25" s="53" t="inlineStr">
        <is>
          <t>Left out of the bid (Excluded lines)</t>
        </is>
      </c>
      <c r="C25" s="43">
        <f>Estimate!$V$69</f>
        <v>2025.36</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46358</v>
      </c>
      <c r="D3" s="64" t="n"/>
    </row>
    <row r="4">
      <c r="B4" s="14" t="inlineStr">
        <is>
          <t>Valid for (days)</t>
        </is>
      </c>
      <c r="C4" s="66" t="n">
        <v>30</v>
      </c>
      <c r="D4" s="64" t="n"/>
    </row>
    <row r="5">
      <c r="B5" s="14" t="inlineStr">
        <is>
          <t>Valid until</t>
        </is>
      </c>
      <c r="C5" s="67">
        <f>IF(OR($C$3="",$C$4=""),"",$C$3+$C$4)</f>
        <v>46388</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Demolition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Office interior demo and annex teardown (example)</v>
      </c>
    </row>
    <row r="19">
      <c r="B19" s="14" t="inlineStr">
        <is>
          <t>Location</t>
        </is>
      </c>
      <c r="C19" s="5" t="str">
        <f>IF(Rates!$C$7="","",Rates!$C$7)</f>
        <v>Dayton, OH</v>
      </c>
    </row>
    <row r="20">
      <c r="B20" s="14" t="inlineStr">
        <is>
          <t>Expected length</t>
        </is>
      </c>
      <c r="C20" s="5" t="str">
        <f>IF(Rates!$C$9="","",Rates!$C$9&amp;" weeks")</f>
        <v>7 weeks</v>
      </c>
    </row>
    <row r="21"/>
    <row r="22" ht="20" customHeight="1">
      <c r="B22" s="4" t="inlineStr">
        <is>
          <t>Scope of work</t>
        </is>
      </c>
      <c r="C22" s="5" t="n"/>
      <c r="D22" s="5" t="n"/>
    </row>
    <row r="23" ht="72" customHeight="1">
      <c r="C23" s="66" t="inlineStr">
        <is>
          <t>The demolition work listed in our estimate, including materials, labor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265647.96</v>
      </c>
    </row>
    <row r="32">
      <c r="B32" s="53" t="str">
        <f>IF(N(Rates!$C$39)=0,"Sales tax is not included","Sales tax at "&amp;Rates!$C$39&amp;"%")</f>
        <v>Sales tax is not included</v>
      </c>
      <c r="D32" s="74" t="str">
        <f>IF(N(Rates!$C$39)=0,"",'Bid summary'!$C$22)</f>
        <v/>
      </c>
    </row>
    <row r="33">
      <c r="B33" s="24" t="str">
        <f>IF(N(Rates!$C$39)=0,"","Total including Sales tax")</f>
        <v/>
      </c>
      <c r="D33" s="75" t="str">
        <f>IF(N(Rates!$C$39)=0,"",'Bid summary'!$C$23)</f>
        <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Demolition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demolition,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02 100</t>
        </is>
      </c>
      <c r="C35" s="30" t="inlineStr">
        <is>
          <t>Pre demolition survey</t>
        </is>
      </c>
      <c r="D35" s="30" t="inlineStr">
        <is>
          <t>ls</t>
        </is>
      </c>
    </row>
    <row r="36" ht="16.5" customHeight="1">
      <c r="B36" s="30" t="inlineStr">
        <is>
          <t>02 110</t>
        </is>
      </c>
      <c r="C36" s="30" t="inlineStr">
        <is>
          <t>Utility disconnections</t>
        </is>
      </c>
      <c r="D36" s="30" t="inlineStr">
        <is>
          <t>ls</t>
        </is>
      </c>
    </row>
    <row r="37" ht="16.5" customHeight="1">
      <c r="B37" s="30" t="inlineStr">
        <is>
          <t>02 120</t>
        </is>
      </c>
      <c r="C37" s="30" t="inlineStr">
        <is>
          <t>Hoarding and dust barriers</t>
        </is>
      </c>
      <c r="D37" s="30" t="inlineStr">
        <is>
          <t>LF</t>
        </is>
      </c>
    </row>
    <row r="38" ht="16.5" customHeight="1">
      <c r="B38" s="30" t="inlineStr">
        <is>
          <t>02 130</t>
        </is>
      </c>
      <c r="C38" s="30" t="inlineStr">
        <is>
          <t>Soft strip of interior finishes</t>
        </is>
      </c>
      <c r="D38" s="30" t="inlineStr">
        <is>
          <t>SF</t>
        </is>
      </c>
    </row>
    <row r="39" ht="16.5" customHeight="1">
      <c r="B39" s="30" t="inlineStr">
        <is>
          <t>02 140</t>
        </is>
      </c>
      <c r="C39" s="30" t="inlineStr">
        <is>
          <t>Removing ceilings and partitions</t>
        </is>
      </c>
      <c r="D39" s="30" t="inlineStr">
        <is>
          <t>SF</t>
        </is>
      </c>
    </row>
    <row r="40" ht="16.5" customHeight="1">
      <c r="B40" s="30" t="inlineStr">
        <is>
          <t>02 150</t>
        </is>
      </c>
      <c r="C40" s="30" t="inlineStr">
        <is>
          <t>Floor finish removal</t>
        </is>
      </c>
      <c r="D40" s="30" t="inlineStr">
        <is>
          <t>SF</t>
        </is>
      </c>
    </row>
    <row r="41" ht="16.5" customHeight="1">
      <c r="B41" s="30" t="inlineStr">
        <is>
          <t>02 160</t>
        </is>
      </c>
      <c r="C41" s="30" t="inlineStr">
        <is>
          <t>Removing fixtures and equipment</t>
        </is>
      </c>
      <c r="D41" s="30" t="inlineStr">
        <is>
          <t>ea</t>
        </is>
      </c>
    </row>
    <row r="42" ht="16.5" customHeight="1">
      <c r="B42" s="30" t="inlineStr">
        <is>
          <t>02 170</t>
        </is>
      </c>
      <c r="C42" s="30" t="inlineStr">
        <is>
          <t>Concrete breaking</t>
        </is>
      </c>
      <c r="D42" s="30" t="inlineStr">
        <is>
          <t>CY</t>
        </is>
      </c>
    </row>
    <row r="43" ht="16.5" customHeight="1">
      <c r="B43" s="30" t="inlineStr">
        <is>
          <t>02 180</t>
        </is>
      </c>
      <c r="C43" s="30" t="inlineStr">
        <is>
          <t>Brick and block demolition</t>
        </is>
      </c>
      <c r="D43" s="30" t="inlineStr">
        <is>
          <t>CY</t>
        </is>
      </c>
    </row>
    <row r="44" ht="16.5" customHeight="1">
      <c r="B44" s="30" t="inlineStr">
        <is>
          <t>02 190</t>
        </is>
      </c>
      <c r="C44" s="30" t="inlineStr">
        <is>
          <t>Steel cutting and removal</t>
        </is>
      </c>
      <c r="D44" s="30" t="inlineStr">
        <is>
          <t>ton</t>
        </is>
      </c>
    </row>
    <row r="45" ht="16.5" customHeight="1">
      <c r="B45" s="30" t="inlineStr">
        <is>
          <t>02 200</t>
        </is>
      </c>
      <c r="C45" s="30" t="inlineStr">
        <is>
          <t>Roof removal</t>
        </is>
      </c>
      <c r="D45" s="30" t="inlineStr">
        <is>
          <t>SF</t>
        </is>
      </c>
    </row>
    <row r="46" ht="16.5" customHeight="1">
      <c r="B46" s="30" t="inlineStr">
        <is>
          <t>02 210</t>
        </is>
      </c>
      <c r="C46" s="30" t="inlineStr">
        <is>
          <t>Building demolition by machine</t>
        </is>
      </c>
      <c r="D46" s="30" t="inlineStr">
        <is>
          <t>ls</t>
        </is>
      </c>
    </row>
    <row r="47" ht="16.5" customHeight="1">
      <c r="B47" s="30" t="inlineStr">
        <is>
          <t>02 220</t>
        </is>
      </c>
      <c r="C47" s="30" t="inlineStr">
        <is>
          <t>Saw cutting and core drilling</t>
        </is>
      </c>
      <c r="D47" s="30" t="inlineStr">
        <is>
          <t>LF</t>
        </is>
      </c>
    </row>
    <row r="48" ht="16.5" customHeight="1">
      <c r="B48" s="30" t="inlineStr">
        <is>
          <t>02 230</t>
        </is>
      </c>
      <c r="C48" s="30" t="inlineStr">
        <is>
          <t>Temporary shoring and bracing</t>
        </is>
      </c>
      <c r="D48" s="30" t="inlineStr">
        <is>
          <t>wk</t>
        </is>
      </c>
    </row>
    <row r="49" ht="16.5" customHeight="1">
      <c r="B49" s="30" t="inlineStr">
        <is>
          <t>02 240</t>
        </is>
      </c>
      <c r="C49" s="30" t="inlineStr">
        <is>
          <t>Scrap metal sorting and recycling</t>
        </is>
      </c>
      <c r="D49" s="30" t="inlineStr">
        <is>
          <t>ton</t>
        </is>
      </c>
    </row>
    <row r="50" ht="16.5" customHeight="1">
      <c r="B50" s="30" t="inlineStr">
        <is>
          <t>02 250</t>
        </is>
      </c>
      <c r="C50" s="30" t="inlineStr">
        <is>
          <t>Debris hauling and disposal</t>
        </is>
      </c>
      <c r="D50" s="30" t="inlineStr">
        <is>
          <t>ton</t>
        </is>
      </c>
    </row>
    <row r="51" ht="16.5" customHeight="1">
      <c r="B51" s="30" t="inlineStr">
        <is>
          <t>02 260</t>
        </is>
      </c>
      <c r="C51" s="30" t="inlineStr">
        <is>
          <t>Disposal fees</t>
        </is>
      </c>
      <c r="D51" s="30" t="inlineStr">
        <is>
          <t>ton</t>
        </is>
      </c>
    </row>
    <row r="52" ht="16.5" customHeight="1">
      <c r="B52" s="30" t="inlineStr">
        <is>
          <t>02 270</t>
        </is>
      </c>
      <c r="C52" s="30" t="inlineStr">
        <is>
          <t>Excavator with breaker</t>
        </is>
      </c>
      <c r="D52" s="30" t="inlineStr">
        <is>
          <t>day</t>
        </is>
      </c>
    </row>
    <row r="53" ht="16.5" customHeight="1">
      <c r="B53" s="30" t="inlineStr">
        <is>
          <t>02 280</t>
        </is>
      </c>
      <c r="C53" s="30" t="inlineStr">
        <is>
          <t>Dust and noise monitoring</t>
        </is>
      </c>
      <c r="D53" s="30" t="inlineStr">
        <is>
          <t>wk</t>
        </is>
      </c>
    </row>
    <row r="54" ht="16.5" customHeight="1">
      <c r="B54" s="30" t="inlineStr">
        <is>
          <t>02 290</t>
        </is>
      </c>
      <c r="C54" s="30" t="inlineStr">
        <is>
          <t>Leaving the site safe and level</t>
        </is>
      </c>
      <c r="D54" s="30" t="inlineStr">
        <is>
          <t>ls</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Demolition estimate (United States, worked example)</dc:title>
  <dcterms:created xmlns:dcterms="http://purl.org/dc/terms/" xmlns:xsi="http://www.w3.org/2001/XMLSchema-instance" xsi:type="dcterms:W3CDTF">2026-10-29T06:09:09Z</dcterms:created>
  <dcterms:modified xmlns:dcterms="http://purl.org/dc/terms/" xmlns:xsi="http://www.w3.org/2001/XMLSchema-instance" xsi:type="dcterms:W3CDTF">2026-10-29T06:09:09Z</dcterms:modified>
  <cp:keywords>estimating spreadsheet, free, Bidfident</cp:keywords>
</cp:coreProperties>
</file>