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contractors" sheetId="4" state="visible" r:id="rId4"/>
    <sheet xmlns:r="http://schemas.openxmlformats.org/officeDocument/2006/relationships" name="General conditions" sheetId="5" state="visible" r:id="rId5"/>
    <sheet xmlns:r="http://schemas.openxmlformats.org/officeDocument/2006/relationships" name="Bid summary" sheetId="6" state="visible" r:id="rId6"/>
    <sheet xmlns:r="http://schemas.openxmlformats.org/officeDocument/2006/relationships" name="Quote"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'Subcontractors'!$6:$6</definedName>
    <definedName name="_xlnm.Print_Titles" localSheetId="4">'General conditions'!$6:$6</definedName>
  </definedNames>
  <calcPr calcId="124519" fullCalcOnLoad="1"/>
</workbook>
</file>

<file path=xl/styles.xml><?xml version="1.0" encoding="utf-8"?>
<styleSheet xmlns="http://schemas.openxmlformats.org/spreadsheetml/2006/main">
  <numFmts count="6">
    <numFmt numFmtId="164" formatCode="yyyy-mm-dd"/>
    <numFmt numFmtId="165" formatCode="mm/dd/yyyy"/>
    <numFmt numFmtId="166" formatCode="General&quot;%&quot;"/>
    <numFmt numFmtId="167" formatCode="#,##0.00##"/>
    <numFmt numFmtId="168" formatCode="#,##0.00;(#,##0.00);&quot;-&quot;"/>
    <numFmt numFmtId="169"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1">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0">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0"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5"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6"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7" fontId="4" fillId="2" borderId="3" applyProtection="1" pivotButton="0" quotePrefix="0" xfId="0">
      <protection locked="0" hidden="0"/>
    </xf>
    <xf numFmtId="168"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7" fontId="4" fillId="5" borderId="3" applyProtection="1" pivotButton="0" quotePrefix="0" xfId="0">
      <protection locked="0" hidden="0"/>
    </xf>
    <xf numFmtId="0" fontId="7" fillId="0" borderId="0" applyAlignment="1" pivotButton="0" quotePrefix="0" xfId="0">
      <alignment horizontal="right" vertical="center"/>
    </xf>
    <xf numFmtId="168" fontId="7" fillId="6" borderId="4" pivotButton="0" quotePrefix="0" xfId="0"/>
    <xf numFmtId="169" fontId="7" fillId="6" borderId="4" pivotButton="0" quotePrefix="0" xfId="0"/>
    <xf numFmtId="0" fontId="3" fillId="0" borderId="0" applyAlignment="1" pivotButton="0" quotePrefix="0" xfId="0">
      <alignment horizontal="right" vertical="center"/>
    </xf>
    <xf numFmtId="169"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7" fontId="4" fillId="4" borderId="3" pivotButton="0" quotePrefix="0" xfId="0"/>
    <xf numFmtId="0" fontId="3" fillId="0" borderId="0" pivotButton="0" quotePrefix="0" xfId="0"/>
    <xf numFmtId="169"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9" fontId="4" fillId="4" borderId="3" pivotButton="0" quotePrefix="0" xfId="0"/>
    <xf numFmtId="0" fontId="11" fillId="6" borderId="0" pivotButton="0" quotePrefix="0" xfId="0"/>
    <xf numFmtId="169"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4" fillId="0" borderId="0" applyProtection="1" pivotButton="0" quotePrefix="0" xfId="0">
      <protection locked="0" hidden="0"/>
    </xf>
    <xf numFmtId="165" fontId="4" fillId="0" borderId="1" applyAlignment="1" applyProtection="1" pivotButton="0" quotePrefix="0" xfId="0">
      <alignment horizontal="left" vertical="top" wrapText="1"/>
      <protection locked="0" hidden="0"/>
    </xf>
    <xf numFmtId="0" fontId="4" fillId="0" borderId="1" applyAlignment="1" applyProtection="1" pivotButton="0" quotePrefix="0" xfId="0">
      <alignment horizontal="left" vertical="top" wrapText="1"/>
      <protection locked="0" hidden="0"/>
    </xf>
    <xf numFmtId="165"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8" applyAlignment="1" pivotButton="0" quotePrefix="0" xfId="0">
      <alignment vertical="center"/>
    </xf>
    <xf numFmtId="0" fontId="4" fillId="6" borderId="8" pivotButton="0" quotePrefix="0" xfId="0"/>
    <xf numFmtId="169" fontId="14" fillId="6" borderId="8" applyAlignment="1" pivotButton="0" quotePrefix="0" xfId="0">
      <alignment vertical="center"/>
    </xf>
    <xf numFmtId="169" fontId="3" fillId="0" borderId="1" pivotButton="0" quotePrefix="0" xfId="0"/>
    <xf numFmtId="169" fontId="7" fillId="0" borderId="1" pivotButton="0" quotePrefix="0" xfId="0"/>
    <xf numFmtId="0" fontId="4" fillId="0" borderId="9"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09 100.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equipment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cent.</t>
      </text>
    </comment>
    <comment ref="T6" authorId="0" shapeId="0">
      <text>
        <t>Quantity x material price x (1 + waste %), rounded to the cent.</t>
      </text>
    </comment>
    <comment ref="U6" authorId="0" shapeId="0">
      <text>
        <t>Hours x the equipment rate, rounded to the cent. The hours are the crew's unless you typed equipment hours.</t>
      </text>
    </comment>
    <comment ref="V6" authorId="0" shapeId="0">
      <text>
        <t>Labour + materials + equipment.</t>
      </text>
    </comment>
    <comment ref="W6" authorId="0" shapeId="0">
      <text>
        <t>Line total divided by the quantity, rounded to the cent.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bid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bid: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cent.</t>
      </text>
    </comment>
  </commentList>
</comments>
</file>

<file path=xl/comments/comment4.xml><?xml version="1.0" encoding="utf-8"?>
<comments xmlns="http://schemas.openxmlformats.org/spreadsheetml/2006/main">
  <authors>
    <author>Bidfident</author>
  </authors>
  <commentLis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Bid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us/for/specialty-contractors/drywall-and-ceilings/?utm_source=spreadsheet&amp;utm_medium=excel&amp;utm_campaign=drywall-us&amp;utm_content=brand&amp;v=0.1" TargetMode="External" Id="rId1"/><Relationship Type="http://schemas.openxmlformats.org/officeDocument/2006/relationships/hyperlink" Target="https://bidfident.com/us/for/specialty-contractors/drywall-and-ceilings/?utm_source=spreadsheet&amp;utm_medium=excel&amp;utm_campaign=drywall-us&amp;utm_content=version&amp;v=0.1" TargetMode="External" Id="rId2"/><Relationship Type="http://schemas.openxmlformats.org/officeDocument/2006/relationships/hyperlink" Target="https://bidfident.com/app/?from=us.drywall&amp;utm_source=spreadsheet&amp;utm_medium=excel&amp;utm_campaign=drywall-us&amp;utm_content=start&amp;v=0.1" TargetMode="External" Id="rId3"/><Relationship Type="http://schemas.openxmlformats.org/officeDocument/2006/relationships/hyperlink" Target="https://bidfident.com/app/?from=us.drywall&amp;utm_source=spreadsheet&amp;utm_medium=excel&amp;utm_campaign=drywall-us&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us/for/specialty-contractors/drywall-and-ceilings/?utm_source=spreadsheet&amp;utm_medium=excel&amp;utm_campaign=drywall-us&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us/for/specialty-contractors/drywall-and-ceilings/?utm_source=spreadsheet&amp;utm_medium=excel&amp;utm_campaign=drywall-us&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us/for/specialty-contractors/drywall-and-ceilings/?utm_source=spreadsheet&amp;utm_medium=excel&amp;utm_campaign=drywall-us&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us/for/specialty-contractors/drywall-and-ceilings/?utm_source=spreadsheet&amp;utm_medium=excel&amp;utm_campaign=drywall-us&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us/for/specialty-contractors/drywall-and-ceilings/?utm_source=spreadsheet&amp;utm_medium=excel&amp;utm_campaign=drywall-us&amp;utm_content=brand&amp;v=0.1" TargetMode="External" Id="rId1"/><Relationship Type="http://schemas.openxmlformats.org/officeDocument/2006/relationships/hyperlink" Target="https://bidfident.com/app/?from=us.drywall&amp;utm_source=spreadsheet&amp;utm_medium=excel&amp;utm_campaign=drywall-us&amp;utm_content=summary&amp;v=0.1" TargetMode="External" Id="rId2"/><Relationship Type="http://schemas.openxmlformats.org/officeDocument/2006/relationships/hyperlink" Target="https://bidfident.com/app/?from=us.drywall&amp;utm_source=spreadsheet&amp;utm_medium=excel&amp;utm_campaign=drywall-us&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us/?utm_source=spreadsheet&amp;utm_medium=excel&amp;utm_campaign=drywall-us&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us/for/specialty-contractors/drywall-and-ceilings/?utm_source=spreadsheet&amp;utm_medium=excel&amp;utm_campaign=drywall-us&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Drywall and ceilings: estimate</t>
        </is>
      </c>
    </row>
    <row r="3">
      <c r="B3" s="3" t="inlineStr">
        <is>
          <t>United States version, with a worked example</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drywall and ceilings. Price your work line by line, compare subcontractor quotes, add your running costs and profit, and get a bid total that adds up to the cent. Every figure is worked out by a formula, so change a rate or a quantity and everything follows.</t>
        </is>
      </c>
    </row>
    <row r="8" ht="60" customHeight="1">
      <c r="B8" s="6" t="inlineStr">
        <is>
          <t>This copy</t>
        </is>
      </c>
      <c r="C8" s="7" t="inlineStr">
        <is>
          <t>This copy is filled in with a worked example: drywall and ceilings for a three-story office, Denver, CO. It is a made-up job with realistic figures, so you can see how it all fits. Change any yellow cell and watch the bid change. The blank copy has the same layout, empty.</t>
        </is>
      </c>
    </row>
    <row r="10" ht="20" customHeight="1">
      <c r="B10" s="4" t="inlineStr">
        <is>
          <t>How to use it, in five steps</t>
        </is>
      </c>
      <c r="C10" s="5" t="n"/>
    </row>
    <row r="11" ht="32" customHeight="1">
      <c r="B11" s="8" t="inlineStr">
        <is>
          <t>1  Rates</t>
        </is>
      </c>
      <c r="C11" s="7" t="inlineStr">
        <is>
          <t>Type your hourly rates for each trade and each piece of equipment, the job length in weeks, and your percentages (contingency, fee, bond, insurance, sales tax).</t>
        </is>
      </c>
    </row>
    <row r="12" ht="60" customHeight="1">
      <c r="B12" s="8" t="inlineStr">
        <is>
          <t>2  Estimate</t>
        </is>
      </c>
      <c r="C12" s="7" t="inlineStr">
        <is>
          <t>One row for each line of work. Type the quantity, the hours each unit takes and what the materials cost. Pick the trade and equipment from the lists, and a cost code from the Codes tab, or type your own. Mark a line Excluded to price it without counting it, for example an option. A line that needs a look turns pink.</t>
        </is>
      </c>
    </row>
    <row r="13" ht="46" customHeight="1">
      <c r="B13" s="8" t="inlineStr">
        <is>
          <t>3  Subcontractors and general conditions</t>
        </is>
      </c>
      <c r="C13" s="7" t="inlineStr">
        <is>
          <t>On the Subcontractors tab, type the quotes you have for each package. The lowest is carried unless you pick another. On the General conditions tab, add running costs; weekly and monthly ones follow the job length.</t>
        </is>
      </c>
    </row>
    <row r="14" ht="32" customHeight="1">
      <c r="B14" s="8" t="inlineStr">
        <is>
          <t>4  Bid summary</t>
        </is>
      </c>
      <c r="C14" s="7" t="inlineStr">
        <is>
          <t>Your bid total, worked out in order: direct cost, contingency, fee, bond, insurance. Nothing to type here.</t>
        </is>
      </c>
    </row>
    <row r="15" ht="32" customHeight="1">
      <c r="B15" s="8" t="inlineStr">
        <is>
          <t>5  Quote</t>
        </is>
      </c>
      <c r="C15" s="7" t="inlineStr">
        <is>
          <t>A one-page quote to send to your customer. Type your details, the scope and what is not included; the price comes from the Bid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Labor = hours x hourly rate. Materials = quantity x price x (1 + waste %). Equipment = hours x its rate. Each of those is rounded to the cent, half up, and a line is their sum. Quantities, hours and rates are never rounded, and totals add up the rounded amounts, so every column adds up exactly.
Then: direct cost = own work + subcontractors + general conditions. Contingency is a percentage of the direct cost, fee of direct cost plus contingency. Bond and insurance are each a percentage of the subtotal before them (not of each other). Sales tax is shown beside the bid total and is not part of it.</t>
        </is>
      </c>
    </row>
    <row r="24" ht="20" customHeight="1">
      <c r="B24" s="4" t="inlineStr">
        <is>
          <t>Good to know</t>
        </is>
      </c>
      <c r="C24" s="5" t="n"/>
    </row>
    <row r="25" ht="46" customHeight="1">
      <c r="B25" s="6" t="inlineStr">
        <is>
          <t>Locked cells</t>
        </is>
      </c>
      <c r="C25" s="7" t="inlineStr">
        <is>
          <t>Only the yellow cells, and the boxes on the Quote,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bid. Free to use for your own bids; please do not resell it.</t>
        </is>
      </c>
    </row>
    <row r="29" ht="20" customHeight="1">
      <c r="B29" s="4" t="inlineStr">
        <is>
          <t>When your spreadsheet gets heavy</t>
        </is>
      </c>
      <c r="C29" s="5" t="n"/>
    </row>
    <row r="30" ht="60" customHeight="1">
      <c r="B30" s="6" t="inlineStr"/>
      <c r="C30" s="7" t="inlineStr">
        <is>
          <t>If you end up with lots of bids, changing rates, or more than one person working on them, Bidfident does the same sums on a page, keeps every bid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bidfident.com/us</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bid. Yellow cells are for you.</t>
        </is>
      </c>
    </row>
    <row r="4" ht="6" customHeight="1"/>
    <row r="5" ht="20" customHeight="1">
      <c r="B5" s="4" t="inlineStr">
        <is>
          <t>Job details</t>
        </is>
      </c>
      <c r="C5" s="5" t="n"/>
      <c r="D5" s="5" t="n"/>
    </row>
    <row r="6" ht="28" customHeight="1">
      <c r="B6" s="15" t="inlineStr">
        <is>
          <t>Job name</t>
        </is>
      </c>
      <c r="C6" s="16" t="inlineStr">
        <is>
          <t>Office build-out, drywall and ceilings (example)</t>
        </is>
      </c>
      <c r="D6" s="17" t="inlineStr">
        <is>
          <t>Shown on the Bid summary tab.</t>
        </is>
      </c>
    </row>
    <row r="7" ht="16.5" customHeight="1">
      <c r="B7" s="15" t="inlineStr">
        <is>
          <t>Location</t>
        </is>
      </c>
      <c r="C7" s="16" t="inlineStr">
        <is>
          <t>Denver, CO</t>
        </is>
      </c>
      <c r="D7" s="17" t="inlineStr"/>
    </row>
    <row r="8" ht="16.5" customHeight="1">
      <c r="B8" s="15" t="inlineStr">
        <is>
          <t>Bid due</t>
        </is>
      </c>
      <c r="C8" s="18" t="n">
        <v>46367</v>
      </c>
      <c r="D8" s="17" t="inlineStr"/>
    </row>
    <row r="9" ht="16.5" customHeight="1">
      <c r="B9" s="15" t="inlineStr">
        <is>
          <t>Job length (weeks)</t>
        </is>
      </c>
      <c r="C9" s="19" t="n">
        <v>12</v>
      </c>
      <c r="D9" s="17" t="inlineStr">
        <is>
          <t>Weekly and monthly items on the General conditions tab follow this.</t>
        </is>
      </c>
    </row>
    <row r="10"/>
    <row r="11" ht="20" customHeight="1">
      <c r="B11" s="4" t="inlineStr">
        <is>
          <t>Labor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Drywall carpenter</t>
        </is>
      </c>
      <c r="C13" s="23" t="n">
        <v>58</v>
      </c>
    </row>
    <row r="14" ht="16.5" customHeight="1">
      <c r="B14" s="22" t="inlineStr">
        <is>
          <t>Taper</t>
        </is>
      </c>
      <c r="C14" s="23" t="n">
        <v>56</v>
      </c>
    </row>
    <row r="15" ht="16.5" customHeight="1">
      <c r="B15" s="22" t="inlineStr">
        <is>
          <t>Drywall apprentice</t>
        </is>
      </c>
      <c r="C15" s="23" t="n">
        <v>40</v>
      </c>
    </row>
    <row r="16" ht="16.5" customHeight="1">
      <c r="B16" s="22" t="inlineStr">
        <is>
          <t>Laborer</t>
        </is>
      </c>
      <c r="C16" s="23" t="n">
        <v>45</v>
      </c>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v>58</v>
      </c>
      <c r="D23" s="1" t="inlineStr">
        <is>
          <t>Used for a line that has hours but no trade, or a trade that is not on this list.</t>
        </is>
      </c>
    </row>
    <row r="24"/>
    <row r="25" ht="20" customHeight="1">
      <c r="B25" s="4" t="inlineStr">
        <is>
          <t>Equipment rates</t>
        </is>
      </c>
      <c r="C25" s="5" t="n"/>
      <c r="D25" s="5" t="n"/>
    </row>
    <row r="26" ht="18" customHeight="1">
      <c r="B26" s="20" t="inlineStr">
        <is>
          <t>Equipment</t>
        </is>
      </c>
      <c r="C26" s="21" t="inlineStr">
        <is>
          <t>Rate per hour ($)</t>
        </is>
      </c>
      <c r="D26" s="1" t="inlineStr">
        <is>
          <t>Pick it by this name in the Equipment column on the Estimate tab.</t>
        </is>
      </c>
    </row>
    <row r="27" ht="16.5" customHeight="1">
      <c r="B27" s="22" t="inlineStr">
        <is>
          <t>Scissor lift</t>
        </is>
      </c>
      <c r="C27" s="23" t="n">
        <v>25</v>
      </c>
    </row>
    <row r="28" ht="16.5" customHeight="1">
      <c r="B28" s="22" t="inlineStr">
        <is>
          <t>Rolling scaffold tower</t>
        </is>
      </c>
      <c r="C28" s="23" t="n">
        <v>8</v>
      </c>
    </row>
    <row r="29" ht="16.5" customHeight="1">
      <c r="B29" s="22" t="n"/>
      <c r="C29" s="23" t="n"/>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v>3</v>
      </c>
      <c r="D35" s="1" t="inlineStr">
        <is>
          <t>Added to the direct cost, for what you cannot yet see.</t>
        </is>
      </c>
    </row>
    <row r="36" ht="16.5" customHeight="1">
      <c r="B36" s="15" t="inlineStr">
        <is>
          <t>Fee (%)</t>
        </is>
      </c>
      <c r="C36" s="26" t="n">
        <v>10</v>
      </c>
      <c r="D36" s="1" t="inlineStr">
        <is>
          <t>Your profit, added to the direct cost plus contingency.</t>
        </is>
      </c>
    </row>
    <row r="37" ht="16.5" customHeight="1">
      <c r="B37" s="15" t="inlineStr">
        <is>
          <t>Bond (%)</t>
        </is>
      </c>
      <c r="C37" s="26" t="n">
        <v>1</v>
      </c>
      <c r="D37" s="1" t="inlineStr">
        <is>
          <t>Taken from the subtotal. Leave at 0 if you are not bonded.</t>
        </is>
      </c>
    </row>
    <row r="38" ht="16.5" customHeight="1">
      <c r="B38" s="15" t="inlineStr">
        <is>
          <t>Insurance (%)</t>
        </is>
      </c>
      <c r="C38" s="26" t="n">
        <v>0.5</v>
      </c>
      <c r="D38" s="1" t="inlineStr">
        <is>
          <t>Taken from the same subtotal as bond, not from each other.</t>
        </is>
      </c>
    </row>
    <row r="39" ht="16.5" customHeight="1">
      <c r="B39" s="15" t="inlineStr">
        <is>
          <t>Sales tax (%)</t>
        </is>
      </c>
      <c r="C39" s="26" t="n">
        <v>0</v>
      </c>
      <c r="D39" s="1" t="inlineStr">
        <is>
          <t>Shown for reference, apart from the bid total. Starts at 0: type your own state or local rate if you want it shown.</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Drywall and ceilings: estimate</t>
        </is>
      </c>
    </row>
    <row r="3" ht="50" customHeight="1">
      <c r="B3" s="14" t="inlineStr">
        <is>
          <t>One row per line of work. Type in the yellow cells; the grey cells are worked out for you. Hours, labour, materials and equipment are each rounded to the cent,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Equipment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equipment</t>
        </is>
      </c>
      <c r="V6" s="29" t="inlineStr">
        <is>
          <t>Line total</t>
        </is>
      </c>
      <c r="W6" s="29" t="inlineStr">
        <is>
          <t>Line price per unit</t>
        </is>
      </c>
      <c r="X6" s="28" t="inlineStr">
        <is>
          <t>Check this line</t>
        </is>
      </c>
    </row>
    <row r="7">
      <c r="B7" s="30" t="inlineStr">
        <is>
          <t>09 100</t>
        </is>
      </c>
      <c r="C7" s="22" t="inlineStr">
        <is>
          <t>Level 1</t>
        </is>
      </c>
      <c r="D7" s="31" t="inlineStr">
        <is>
          <t>Metal stud partitions, 3-5/8 in. at 16 in. o.c.</t>
        </is>
      </c>
      <c r="E7" s="22" t="n">
        <v>6030</v>
      </c>
      <c r="F7" s="22" t="inlineStr">
        <is>
          <t>SF</t>
        </is>
      </c>
      <c r="G7" s="22" t="inlineStr">
        <is>
          <t>Drywall carpenter</t>
        </is>
      </c>
      <c r="H7" s="22" t="n">
        <v>0.025</v>
      </c>
      <c r="I7" s="32" t="n"/>
      <c r="J7" s="32" t="n">
        <v>1.35</v>
      </c>
      <c r="K7" s="22" t="n">
        <v>5</v>
      </c>
      <c r="L7" s="22" t="n"/>
      <c r="M7" s="22" t="inlineStr">
        <is>
          <t>Open office</t>
        </is>
      </c>
      <c r="N7" s="22" t="n"/>
      <c r="O7" s="22" t="n"/>
      <c r="P7" s="31" t="n"/>
      <c r="Q7" s="33">
        <f>IF($E7="","",$E7*$H7)</f>
        <v>150.75</v>
      </c>
      <c r="R7" s="33">
        <f>IF($E7="","",IF($I7&lt;&gt;"",$I7,IF($G7="",Rates!$C$23,IFERROR(INDEX(Rates!$C$13:$C$22,MATCH($G7,Rates!$B$13:$B$22,0)),Rates!$C$23))))</f>
        <v>58</v>
      </c>
      <c r="S7" s="33">
        <f>IF($E7="","",ROUND($Q7*$R7,2))</f>
        <v>8743.5</v>
      </c>
      <c r="T7" s="33">
        <f>IF($E7="","",ROUND($E7*$J7*(1+$K7/100),2))</f>
        <v>8547.53</v>
      </c>
      <c r="U7" s="33">
        <f>IF($E7="","",ROUND(IF($N7&lt;&gt;"",$E7*$N7,$Q7)*IF($L7="",0,IFERROR(INDEX(Rates!$C$27:$C$32,MATCH($L7,Rates!$B$27:$B$32,0)),0)),2))</f>
        <v>0</v>
      </c>
      <c r="V7" s="33">
        <f>IF($E7="","",ROUND($S7+$T7+$U7,2))</f>
        <v>17291.03</v>
      </c>
      <c r="W7" s="33">
        <f>IF($E7="","",IF($E7=0,0,ROUND($V7/$E7,2)))</f>
        <v>2.87</v>
      </c>
      <c r="X7" s="34" t="str">
        <f>IF($E7="","",TRIM(IF(OR($I7&lt;&gt;"",$G7="",$Q7=0),"",IF(ISNA(MATCH($G7,Rates!$B$13:$B$22,0)),"Trade is not on your Rates list: priced at the standard rate. ",IF(INDEX(Rates!$C$13:$C$22,MATCH($G7,Rates!$B$13:$B$22,0))="","No rate typed yet for this trade. ","")))&amp;IF($L7="","",IF(ISNA(MATCH($L7,Rates!$B$27:$B$32,0)),"Equipment is not on your Rates list: no cost added. ",IF(INDEX(Rates!$C$27:$C$32,MATCH($L7,Rates!$B$27:$B$32,0))="","No rate typed yet for this equipment. ","")))))</f>
        <v/>
      </c>
    </row>
    <row r="8">
      <c r="B8" s="35" t="inlineStr">
        <is>
          <t>09 200</t>
        </is>
      </c>
      <c r="C8" s="36" t="inlineStr">
        <is>
          <t>Level 1</t>
        </is>
      </c>
      <c r="D8" s="37" t="inlineStr">
        <is>
          <t>1/2 in. gypsum board, both sides</t>
        </is>
      </c>
      <c r="E8" s="36" t="n">
        <v>12100</v>
      </c>
      <c r="F8" s="36" t="inlineStr">
        <is>
          <t>SF</t>
        </is>
      </c>
      <c r="G8" s="36" t="inlineStr">
        <is>
          <t>Drywall carpenter</t>
        </is>
      </c>
      <c r="H8" s="36" t="n">
        <v>0.012</v>
      </c>
      <c r="I8" s="38" t="n"/>
      <c r="J8" s="38" t="n">
        <v>0.55</v>
      </c>
      <c r="K8" s="36" t="n">
        <v>10</v>
      </c>
      <c r="L8" s="36" t="n"/>
      <c r="M8" s="36" t="inlineStr">
        <is>
          <t>Open office</t>
        </is>
      </c>
      <c r="N8" s="36" t="n"/>
      <c r="O8" s="36" t="n"/>
      <c r="P8" s="37" t="n"/>
      <c r="Q8" s="33">
        <f>IF($E8="","",$E8*$H8)</f>
        <v>145.20000000000002</v>
      </c>
      <c r="R8" s="33">
        <f>IF($E8="","",IF($I8&lt;&gt;"",$I8,IF($G8="",Rates!$C$23,IFERROR(INDEX(Rates!$C$13:$C$22,MATCH($G8,Rates!$B$13:$B$22,0)),Rates!$C$23))))</f>
        <v>58</v>
      </c>
      <c r="S8" s="33">
        <f>IF($E8="","",ROUND($Q8*$R8,2))</f>
        <v>8421.6</v>
      </c>
      <c r="T8" s="33">
        <f>IF($E8="","",ROUND($E8*$J8*(1+$K8/100),2))</f>
        <v>7320.5</v>
      </c>
      <c r="U8" s="33">
        <f>IF($E8="","",ROUND(IF($N8&lt;&gt;"",$E8*$N8,$Q8)*IF($L8="",0,IFERROR(INDEX(Rates!$C$27:$C$32,MATCH($L8,Rates!$B$27:$B$32,0)),0)),2))</f>
        <v>0</v>
      </c>
      <c r="V8" s="33">
        <f>IF($E8="","",ROUND($S8+$T8+$U8,2))</f>
        <v>15742.1</v>
      </c>
      <c r="W8" s="33">
        <f>IF($E8="","",IF($E8=0,0,ROUND($V8/$E8,2)))</f>
        <v>1.3</v>
      </c>
      <c r="X8" s="34" t="str">
        <f>IF($E8="","",TRIM(IF(OR($I8&lt;&gt;"",$G8="",$Q8=0),"",IF(ISNA(MATCH($G8,Rates!$B$13:$B$22,0)),"Trade is not on your Rates list: priced at the standard rate. ",IF(INDEX(Rates!$C$13:$C$22,MATCH($G8,Rates!$B$13:$B$22,0))="","No rate typed yet for this trade. ","")))&amp;IF($L8="","",IF(ISNA(MATCH($L8,Rates!$B$27:$B$32,0)),"Equipment is not on your Rates list: no cost added. ",IF(INDEX(Rates!$C$27:$C$32,MATCH($L8,Rates!$B$27:$B$32,0))="","No rate typed yet for this equipment. ","")))))</f>
        <v/>
      </c>
    </row>
    <row r="9">
      <c r="B9" s="30" t="inlineStr">
        <is>
          <t>09 400</t>
        </is>
      </c>
      <c r="C9" s="22" t="inlineStr">
        <is>
          <t>Level 1</t>
        </is>
      </c>
      <c r="D9" s="31" t="inlineStr">
        <is>
          <t>Tape and finish, Level 4</t>
        </is>
      </c>
      <c r="E9" s="22" t="n">
        <v>12100</v>
      </c>
      <c r="F9" s="22" t="inlineStr">
        <is>
          <t>SF</t>
        </is>
      </c>
      <c r="G9" s="22" t="inlineStr">
        <is>
          <t>Taper</t>
        </is>
      </c>
      <c r="H9" s="22" t="n">
        <v>0.01</v>
      </c>
      <c r="I9" s="32" t="n"/>
      <c r="J9" s="32" t="n">
        <v>0.08</v>
      </c>
      <c r="K9" s="22" t="n">
        <v>0</v>
      </c>
      <c r="L9" s="22" t="n"/>
      <c r="M9" s="22" t="inlineStr">
        <is>
          <t>Open office</t>
        </is>
      </c>
      <c r="N9" s="22" t="n"/>
      <c r="O9" s="22" t="n"/>
      <c r="P9" s="31" t="n"/>
      <c r="Q9" s="33">
        <f>IF($E9="","",$E9*$H9)</f>
        <v>121</v>
      </c>
      <c r="R9" s="33">
        <f>IF($E9="","",IF($I9&lt;&gt;"",$I9,IF($G9="",Rates!$C$23,IFERROR(INDEX(Rates!$C$13:$C$22,MATCH($G9,Rates!$B$13:$B$22,0)),Rates!$C$23))))</f>
        <v>56</v>
      </c>
      <c r="S9" s="33">
        <f>IF($E9="","",ROUND($Q9*$R9,2))</f>
        <v>6776</v>
      </c>
      <c r="T9" s="33">
        <f>IF($E9="","",ROUND($E9*$J9*(1+$K9/100),2))</f>
        <v>968</v>
      </c>
      <c r="U9" s="33">
        <f>IF($E9="","",ROUND(IF($N9&lt;&gt;"",$E9*$N9,$Q9)*IF($L9="",0,IFERROR(INDEX(Rates!$C$27:$C$32,MATCH($L9,Rates!$B$27:$B$32,0)),0)),2))</f>
        <v>0</v>
      </c>
      <c r="V9" s="33">
        <f>IF($E9="","",ROUND($S9+$T9+$U9,2))</f>
        <v>7744</v>
      </c>
      <c r="W9" s="33">
        <f>IF($E9="","",IF($E9=0,0,ROUND($V9/$E9,2)))</f>
        <v>0.64</v>
      </c>
      <c r="X9" s="34" t="str">
        <f>IF($E9="","",TRIM(IF(OR($I9&lt;&gt;"",$G9="",$Q9=0),"",IF(ISNA(MATCH($G9,Rates!$B$13:$B$22,0)),"Trade is not on your Rates list: priced at the standard rate. ",IF(INDEX(Rates!$C$13:$C$22,MATCH($G9,Rates!$B$13:$B$22,0))="","No rate typed yet for this trade. ","")))&amp;IF($L9="","",IF(ISNA(MATCH($L9,Rates!$B$27:$B$32,0)),"Equipment is not on your Rates list: no cost added. ",IF(INDEX(Rates!$C$27:$C$32,MATCH($L9,Rates!$B$27:$B$32,0))="","No rate typed yet for this equipment. ","")))))</f>
        <v/>
      </c>
    </row>
    <row r="10">
      <c r="B10" s="35" t="inlineStr">
        <is>
          <t>09 500</t>
        </is>
      </c>
      <c r="C10" s="36" t="inlineStr">
        <is>
          <t>Level 1</t>
        </is>
      </c>
      <c r="D10" s="37" t="inlineStr">
        <is>
          <t>Acoustical ceiling tile, 2 x 2 grid</t>
        </is>
      </c>
      <c r="E10" s="36" t="n">
        <v>9690</v>
      </c>
      <c r="F10" s="36" t="inlineStr">
        <is>
          <t>SF</t>
        </is>
      </c>
      <c r="G10" s="36" t="inlineStr">
        <is>
          <t>Drywall carpenter</t>
        </is>
      </c>
      <c r="H10" s="36" t="n">
        <v>0.018</v>
      </c>
      <c r="I10" s="38" t="n"/>
      <c r="J10" s="38" t="n">
        <v>3</v>
      </c>
      <c r="K10" s="36" t="n">
        <v>5</v>
      </c>
      <c r="L10" s="36" t="inlineStr">
        <is>
          <t>Scissor lift</t>
        </is>
      </c>
      <c r="M10" s="36" t="inlineStr">
        <is>
          <t>Open office</t>
        </is>
      </c>
      <c r="N10" s="36" t="n">
        <v>0.01</v>
      </c>
      <c r="O10" s="36" t="n"/>
      <c r="P10" s="37" t="n"/>
      <c r="Q10" s="33">
        <f>IF($E10="","",$E10*$H10)</f>
        <v>174.42</v>
      </c>
      <c r="R10" s="33">
        <f>IF($E10="","",IF($I10&lt;&gt;"",$I10,IF($G10="",Rates!$C$23,IFERROR(INDEX(Rates!$C$13:$C$22,MATCH($G10,Rates!$B$13:$B$22,0)),Rates!$C$23))))</f>
        <v>58</v>
      </c>
      <c r="S10" s="33">
        <f>IF($E10="","",ROUND($Q10*$R10,2))</f>
        <v>10116.36</v>
      </c>
      <c r="T10" s="33">
        <f>IF($E10="","",ROUND($E10*$J10*(1+$K10/100),2))</f>
        <v>30523.5</v>
      </c>
      <c r="U10" s="33">
        <f>IF($E10="","",ROUND(IF($N10&lt;&gt;"",$E10*$N10,$Q10)*IF($L10="",0,IFERROR(INDEX(Rates!$C$27:$C$32,MATCH($L10,Rates!$B$27:$B$32,0)),0)),2))</f>
        <v>2422.5</v>
      </c>
      <c r="V10" s="33">
        <f>IF($E10="","",ROUND($S10+$T10+$U10,2))</f>
        <v>43062.36</v>
      </c>
      <c r="W10" s="33">
        <f>IF($E10="","",IF($E10=0,0,ROUND($V10/$E10,2)))</f>
        <v>4.44</v>
      </c>
      <c r="X10" s="34" t="str">
        <f>IF($E10="","",TRIM(IF(OR($I10&lt;&gt;"",$G10="",$Q10=0),"",IF(ISNA(MATCH($G10,Rates!$B$13:$B$22,0)),"Trade is not on your Rates list: priced at the standard rate. ",IF(INDEX(Rates!$C$13:$C$22,MATCH($G10,Rates!$B$13:$B$22,0))="","No rate typed yet for this trade. ","")))&amp;IF($L10="","",IF(ISNA(MATCH($L10,Rates!$B$27:$B$32,0)),"Equipment is not on your Rates list: no cost added. ",IF(INDEX(Rates!$C$27:$C$32,MATCH($L10,Rates!$B$27:$B$32,0))="","No rate typed yet for this equipment. ","")))))</f>
        <v/>
      </c>
    </row>
    <row r="11">
      <c r="B11" s="30" t="inlineStr">
        <is>
          <t>09 130</t>
        </is>
      </c>
      <c r="C11" s="22" t="inlineStr">
        <is>
          <t>Level 1</t>
        </is>
      </c>
      <c r="D11" s="31" t="inlineStr">
        <is>
          <t>Soffits, framed and hung</t>
        </is>
      </c>
      <c r="E11" s="22" t="n">
        <v>230</v>
      </c>
      <c r="F11" s="22" t="inlineStr">
        <is>
          <t>LF</t>
        </is>
      </c>
      <c r="G11" s="22" t="inlineStr">
        <is>
          <t>Drywall carpenter</t>
        </is>
      </c>
      <c r="H11" s="22" t="n">
        <v>0.45</v>
      </c>
      <c r="I11" s="32" t="n"/>
      <c r="J11" s="32" t="n">
        <v>7.8</v>
      </c>
      <c r="K11" s="22" t="n">
        <v>0</v>
      </c>
      <c r="L11" s="22" t="n"/>
      <c r="M11" s="22" t="inlineStr">
        <is>
          <t>Corridors</t>
        </is>
      </c>
      <c r="N11" s="22" t="n"/>
      <c r="O11" s="22" t="n"/>
      <c r="P11" s="31" t="n"/>
      <c r="Q11" s="33">
        <f>IF($E11="","",$E11*$H11)</f>
        <v>103.5</v>
      </c>
      <c r="R11" s="33">
        <f>IF($E11="","",IF($I11&lt;&gt;"",$I11,IF($G11="",Rates!$C$23,IFERROR(INDEX(Rates!$C$13:$C$22,MATCH($G11,Rates!$B$13:$B$22,0)),Rates!$C$23))))</f>
        <v>58</v>
      </c>
      <c r="S11" s="33">
        <f>IF($E11="","",ROUND($Q11*$R11,2))</f>
        <v>6003</v>
      </c>
      <c r="T11" s="33">
        <f>IF($E11="","",ROUND($E11*$J11*(1+$K11/100),2))</f>
        <v>1794</v>
      </c>
      <c r="U11" s="33">
        <f>IF($E11="","",ROUND(IF($N11&lt;&gt;"",$E11*$N11,$Q11)*IF($L11="",0,IFERROR(INDEX(Rates!$C$27:$C$32,MATCH($L11,Rates!$B$27:$B$32,0)),0)),2))</f>
        <v>0</v>
      </c>
      <c r="V11" s="33">
        <f>IF($E11="","",ROUND($S11+$T11+$U11,2))</f>
        <v>7797</v>
      </c>
      <c r="W11" s="33">
        <f>IF($E11="","",IF($E11=0,0,ROUND($V11/$E11,2)))</f>
        <v>33.9</v>
      </c>
      <c r="X11" s="34" t="str">
        <f>IF($E11="","",TRIM(IF(OR($I11&lt;&gt;"",$G11="",$Q11=0),"",IF(ISNA(MATCH($G11,Rates!$B$13:$B$22,0)),"Trade is not on your Rates list: priced at the standard rate. ",IF(INDEX(Rates!$C$13:$C$22,MATCH($G11,Rates!$B$13:$B$22,0))="","No rate typed yet for this trade. ","")))&amp;IF($L11="","",IF(ISNA(MATCH($L11,Rates!$B$27:$B$32,0)),"Equipment is not on your Rates list: no cost added. ",IF(INDEX(Rates!$C$27:$C$32,MATCH($L11,Rates!$B$27:$B$32,0))="","No rate typed yet for this equipment. ","")))))</f>
        <v/>
      </c>
    </row>
    <row r="12" ht="29" customHeight="1">
      <c r="B12" s="35" t="inlineStr">
        <is>
          <t>09 240</t>
        </is>
      </c>
      <c r="C12" s="36" t="inlineStr">
        <is>
          <t>Level 1</t>
        </is>
      </c>
      <c r="D12" s="37" t="inlineStr">
        <is>
          <t>Alternate 1: 5/8 in. Type X board in place of 1/2 in., corridor walls</t>
        </is>
      </c>
      <c r="E12" s="36" t="n">
        <v>4520</v>
      </c>
      <c r="F12" s="36" t="inlineStr">
        <is>
          <t>SF</t>
        </is>
      </c>
      <c r="G12" s="36" t="inlineStr">
        <is>
          <t>Drywall carpenter</t>
        </is>
      </c>
      <c r="H12" s="36" t="n">
        <v>0.00186</v>
      </c>
      <c r="I12" s="38" t="n"/>
      <c r="J12" s="38" t="n">
        <v>0.18</v>
      </c>
      <c r="K12" s="36" t="n">
        <v>10</v>
      </c>
      <c r="L12" s="36" t="n"/>
      <c r="M12" s="36" t="inlineStr">
        <is>
          <t>Corridors</t>
        </is>
      </c>
      <c r="N12" s="36" t="n"/>
      <c r="O12" s="36" t="inlineStr">
        <is>
          <t>Yes</t>
        </is>
      </c>
      <c r="P12" s="37" t="n"/>
      <c r="Q12" s="33">
        <f>IF($E12="","",$E12*$H12)</f>
        <v>8.407200000000001</v>
      </c>
      <c r="R12" s="33">
        <f>IF($E12="","",IF($I12&lt;&gt;"",$I12,IF($G12="",Rates!$C$23,IFERROR(INDEX(Rates!$C$13:$C$22,MATCH($G12,Rates!$B$13:$B$22,0)),Rates!$C$23))))</f>
        <v>58</v>
      </c>
      <c r="S12" s="33">
        <f>IF($E12="","",ROUND($Q12*$R12,2))</f>
        <v>487.62</v>
      </c>
      <c r="T12" s="33">
        <f>IF($E12="","",ROUND($E12*$J12*(1+$K12/100),2))</f>
        <v>894.96</v>
      </c>
      <c r="U12" s="33">
        <f>IF($E12="","",ROUND(IF($N12&lt;&gt;"",$E12*$N12,$Q12)*IF($L12="",0,IFERROR(INDEX(Rates!$C$27:$C$32,MATCH($L12,Rates!$B$27:$B$32,0)),0)),2))</f>
        <v>0</v>
      </c>
      <c r="V12" s="33">
        <f>IF($E12="","",ROUND($S12+$T12+$U12,2))</f>
        <v>1382.58</v>
      </c>
      <c r="W12" s="33">
        <f>IF($E12="","",IF($E12=0,0,ROUND($V12/$E12,2)))</f>
        <v>0.31</v>
      </c>
      <c r="X12" s="34" t="str">
        <f>IF($E12="","",TRIM(IF(OR($I12&lt;&gt;"",$G12="",$Q12=0),"",IF(ISNA(MATCH($G12,Rates!$B$13:$B$22,0)),"Trade is not on your Rates list: priced at the standard rate. ",IF(INDEX(Rates!$C$13:$C$22,MATCH($G12,Rates!$B$13:$B$22,0))="","No rate typed yet for this trade. ","")))&amp;IF($L12="","",IF(ISNA(MATCH($L12,Rates!$B$27:$B$32,0)),"Equipment is not on your Rates list: no cost added. ",IF(INDEX(Rates!$C$27:$C$32,MATCH($L12,Rates!$B$27:$B$32,0))="","No rate typed yet for this equipment. ","")))))</f>
        <v/>
      </c>
    </row>
    <row r="13">
      <c r="B13" s="30" t="inlineStr">
        <is>
          <t>09 270</t>
        </is>
      </c>
      <c r="C13" s="22" t="inlineStr">
        <is>
          <t>Level 1</t>
        </is>
      </c>
      <c r="D13" s="31" t="inlineStr">
        <is>
          <t>Curved reception wall, framed and hung</t>
        </is>
      </c>
      <c r="E13" s="22" t="n">
        <v>59.1</v>
      </c>
      <c r="F13" s="22" t="inlineStr">
        <is>
          <t>LF</t>
        </is>
      </c>
      <c r="G13" s="22" t="inlineStr">
        <is>
          <t>Drywall carpenter</t>
        </is>
      </c>
      <c r="H13" s="22" t="n">
        <v>1.07</v>
      </c>
      <c r="I13" s="32" t="n">
        <v>67.2</v>
      </c>
      <c r="J13" s="32" t="n">
        <v>11.7</v>
      </c>
      <c r="K13" s="22" t="n">
        <v>10</v>
      </c>
      <c r="L13" s="22" t="n"/>
      <c r="M13" s="22" t="inlineStr">
        <is>
          <t>Open office</t>
        </is>
      </c>
      <c r="N13" s="22" t="n"/>
      <c r="O13" s="22" t="n"/>
      <c r="P13" s="31" t="n"/>
      <c r="Q13" s="33">
        <f>IF($E13="","",$E13*$H13)</f>
        <v>63.237</v>
      </c>
      <c r="R13" s="33">
        <f>IF($E13="","",IF($I13&lt;&gt;"",$I13,IF($G13="",Rates!$C$23,IFERROR(INDEX(Rates!$C$13:$C$22,MATCH($G13,Rates!$B$13:$B$22,0)),Rates!$C$23))))</f>
        <v>67.2</v>
      </c>
      <c r="S13" s="33">
        <f>IF($E13="","",ROUND($Q13*$R13,2))</f>
        <v>4249.53</v>
      </c>
      <c r="T13" s="33">
        <f>IF($E13="","",ROUND($E13*$J13*(1+$K13/100),2))</f>
        <v>760.62</v>
      </c>
      <c r="U13" s="33">
        <f>IF($E13="","",ROUND(IF($N13&lt;&gt;"",$E13*$N13,$Q13)*IF($L13="",0,IFERROR(INDEX(Rates!$C$27:$C$32,MATCH($L13,Rates!$B$27:$B$32,0)),0)),2))</f>
        <v>0</v>
      </c>
      <c r="V13" s="33">
        <f>IF($E13="","",ROUND($S13+$T13+$U13,2))</f>
        <v>5010.15</v>
      </c>
      <c r="W13" s="33">
        <f>IF($E13="","",IF($E13=0,0,ROUND($V13/$E13,2)))</f>
        <v>84.77</v>
      </c>
      <c r="X13" s="34" t="str">
        <f>IF($E13="","",TRIM(IF(OR($I13&lt;&gt;"",$G13="",$Q13=0),"",IF(ISNA(MATCH($G13,Rates!$B$13:$B$22,0)),"Trade is not on your Rates list: priced at the standard rate. ",IF(INDEX(Rates!$C$13:$C$22,MATCH($G13,Rates!$B$13:$B$22,0))="","No rate typed yet for this trade. ","")))&amp;IF($L13="","",IF(ISNA(MATCH($L13,Rates!$B$27:$B$32,0)),"Equipment is not on your Rates list: no cost added. ",IF(INDEX(Rates!$C$27:$C$32,MATCH($L13,Rates!$B$27:$B$32,0))="","No rate typed yet for this equipment. ","")))))</f>
        <v/>
      </c>
    </row>
    <row r="14">
      <c r="B14" s="35" t="inlineStr">
        <is>
          <t>09 230</t>
        </is>
      </c>
      <c r="C14" s="36" t="inlineStr">
        <is>
          <t>Level 1</t>
        </is>
      </c>
      <c r="D14" s="37" t="inlineStr">
        <is>
          <t>Moisture-resistant board, restroom walls</t>
        </is>
      </c>
      <c r="E14" s="36" t="n">
        <v>1940</v>
      </c>
      <c r="F14" s="36" t="inlineStr">
        <is>
          <t>SF</t>
        </is>
      </c>
      <c r="G14" s="36" t="inlineStr">
        <is>
          <t>Drywall carpenter</t>
        </is>
      </c>
      <c r="H14" s="36" t="n">
        <v>0.013</v>
      </c>
      <c r="I14" s="38" t="n"/>
      <c r="J14" s="38" t="n">
        <v>0.68</v>
      </c>
      <c r="K14" s="36" t="n">
        <v>10</v>
      </c>
      <c r="L14" s="36" t="n"/>
      <c r="M14" s="36" t="inlineStr">
        <is>
          <t>Restrooms</t>
        </is>
      </c>
      <c r="N14" s="36" t="n"/>
      <c r="O14" s="36" t="n"/>
      <c r="P14" s="37" t="n"/>
      <c r="Q14" s="33">
        <f>IF($E14="","",$E14*$H14)</f>
        <v>25.22</v>
      </c>
      <c r="R14" s="33">
        <f>IF($E14="","",IF($I14&lt;&gt;"",$I14,IF($G14="",Rates!$C$23,IFERROR(INDEX(Rates!$C$13:$C$22,MATCH($G14,Rates!$B$13:$B$22,0)),Rates!$C$23))))</f>
        <v>58</v>
      </c>
      <c r="S14" s="33">
        <f>IF($E14="","",ROUND($Q14*$R14,2))</f>
        <v>1462.76</v>
      </c>
      <c r="T14" s="33">
        <f>IF($E14="","",ROUND($E14*$J14*(1+$K14/100),2))</f>
        <v>1451.12</v>
      </c>
      <c r="U14" s="33">
        <f>IF($E14="","",ROUND(IF($N14&lt;&gt;"",$E14*$N14,$Q14)*IF($L14="",0,IFERROR(INDEX(Rates!$C$27:$C$32,MATCH($L14,Rates!$B$27:$B$32,0)),0)),2))</f>
        <v>0</v>
      </c>
      <c r="V14" s="33">
        <f>IF($E14="","",ROUND($S14+$T14+$U14,2))</f>
        <v>2913.88</v>
      </c>
      <c r="W14" s="33">
        <f>IF($E14="","",IF($E14=0,0,ROUND($V14/$E14,2)))</f>
        <v>1.5</v>
      </c>
      <c r="X14" s="34" t="str">
        <f>IF($E14="","",TRIM(IF(OR($I14&lt;&gt;"",$G14="",$Q14=0),"",IF(ISNA(MATCH($G14,Rates!$B$13:$B$22,0)),"Trade is not on your Rates list: priced at the standard rate. ",IF(INDEX(Rates!$C$13:$C$22,MATCH($G14,Rates!$B$13:$B$22,0))="","No rate typed yet for this trade. ","")))&amp;IF($L14="","",IF(ISNA(MATCH($L14,Rates!$B$27:$B$32,0)),"Equipment is not on your Rates list: no cost added. ",IF(INDEX(Rates!$C$27:$C$32,MATCH($L14,Rates!$B$27:$B$32,0))="","No rate typed yet for this equipment. ","")))))</f>
        <v/>
      </c>
    </row>
    <row r="15">
      <c r="B15" s="30" t="inlineStr">
        <is>
          <t>09 150</t>
        </is>
      </c>
      <c r="C15" s="22" t="inlineStr">
        <is>
          <t>Level 1</t>
        </is>
      </c>
      <c r="D15" s="31" t="inlineStr">
        <is>
          <t>Frame door openings in metal stud</t>
        </is>
      </c>
      <c r="E15" s="22" t="n">
        <v>28</v>
      </c>
      <c r="F15" s="22" t="inlineStr">
        <is>
          <t>ea</t>
        </is>
      </c>
      <c r="G15" s="22" t="inlineStr">
        <is>
          <t>Drywall carpenter</t>
        </is>
      </c>
      <c r="H15" s="22" t="n">
        <v>1.2</v>
      </c>
      <c r="I15" s="32" t="n"/>
      <c r="J15" s="32" t="n">
        <v>25.6</v>
      </c>
      <c r="K15" s="22" t="n">
        <v>0</v>
      </c>
      <c r="L15" s="22" t="n"/>
      <c r="M15" s="22" t="inlineStr">
        <is>
          <t>Open office</t>
        </is>
      </c>
      <c r="N15" s="22" t="n"/>
      <c r="O15" s="22" t="n"/>
      <c r="P15" s="31" t="n"/>
      <c r="Q15" s="33">
        <f>IF($E15="","",$E15*$H15)</f>
        <v>33.6</v>
      </c>
      <c r="R15" s="33">
        <f>IF($E15="","",IF($I15&lt;&gt;"",$I15,IF($G15="",Rates!$C$23,IFERROR(INDEX(Rates!$C$13:$C$22,MATCH($G15,Rates!$B$13:$B$22,0)),Rates!$C$23))))</f>
        <v>58</v>
      </c>
      <c r="S15" s="33">
        <f>IF($E15="","",ROUND($Q15*$R15,2))</f>
        <v>1948.8</v>
      </c>
      <c r="T15" s="33">
        <f>IF($E15="","",ROUND($E15*$J15*(1+$K15/100),2))</f>
        <v>716.8</v>
      </c>
      <c r="U15" s="33">
        <f>IF($E15="","",ROUND(IF($N15&lt;&gt;"",$E15*$N15,$Q15)*IF($L15="",0,IFERROR(INDEX(Rates!$C$27:$C$32,MATCH($L15,Rates!$B$27:$B$32,0)),0)),2))</f>
        <v>0</v>
      </c>
      <c r="V15" s="33">
        <f>IF($E15="","",ROUND($S15+$T15+$U15,2))</f>
        <v>2665.6</v>
      </c>
      <c r="W15" s="33">
        <f>IF($E15="","",IF($E15=0,0,ROUND($V15/$E15,2)))</f>
        <v>95.2</v>
      </c>
      <c r="X15" s="34" t="str">
        <f>IF($E15="","",TRIM(IF(OR($I15&lt;&gt;"",$G15="",$Q15=0),"",IF(ISNA(MATCH($G15,Rates!$B$13:$B$22,0)),"Trade is not on your Rates list: priced at the standard rate. ",IF(INDEX(Rates!$C$13:$C$22,MATCH($G15,Rates!$B$13:$B$22,0))="","No rate typed yet for this trade. ","")))&amp;IF($L15="","",IF(ISNA(MATCH($L15,Rates!$B$27:$B$32,0)),"Equipment is not on your Rates list: no cost added. ",IF(INDEX(Rates!$C$27:$C$32,MATCH($L15,Rates!$B$27:$B$32,0))="","No rate typed yet for this equipment. ","")))))</f>
        <v/>
      </c>
    </row>
    <row r="16" ht="29" customHeight="1">
      <c r="B16" s="35" t="inlineStr">
        <is>
          <t>09 250</t>
        </is>
      </c>
      <c r="C16" s="36" t="inlineStr">
        <is>
          <t>Level 1</t>
        </is>
      </c>
      <c r="D16" s="37" t="inlineStr">
        <is>
          <t>Acoustic partition to deck, 6 in. stud, 2 layers Type X</t>
        </is>
      </c>
      <c r="E16" s="36" t="n">
        <v>1510</v>
      </c>
      <c r="F16" s="36" t="inlineStr">
        <is>
          <t>SF</t>
        </is>
      </c>
      <c r="G16" s="36" t="inlineStr">
        <is>
          <t>Drywall carpenter</t>
        </is>
      </c>
      <c r="H16" s="36" t="n">
        <v>0.0883</v>
      </c>
      <c r="I16" s="38" t="n"/>
      <c r="J16" s="38" t="n">
        <v>4.31</v>
      </c>
      <c r="K16" s="36" t="n">
        <v>8</v>
      </c>
      <c r="L16" s="36" t="n"/>
      <c r="M16" s="36" t="inlineStr">
        <is>
          <t>Meeting rooms</t>
        </is>
      </c>
      <c r="N16" s="36" t="n"/>
      <c r="O16" s="36" t="n"/>
      <c r="P16" s="37" t="n"/>
      <c r="Q16" s="33">
        <f>IF($E16="","",$E16*$H16)</f>
        <v>133.333</v>
      </c>
      <c r="R16" s="33">
        <f>IF($E16="","",IF($I16&lt;&gt;"",$I16,IF($G16="",Rates!$C$23,IFERROR(INDEX(Rates!$C$13:$C$22,MATCH($G16,Rates!$B$13:$B$22,0)),Rates!$C$23))))</f>
        <v>58</v>
      </c>
      <c r="S16" s="33">
        <f>IF($E16="","",ROUND($Q16*$R16,2))</f>
        <v>7733.31</v>
      </c>
      <c r="T16" s="33">
        <f>IF($E16="","",ROUND($E16*$J16*(1+$K16/100),2))</f>
        <v>7028.75</v>
      </c>
      <c r="U16" s="33">
        <f>IF($E16="","",ROUND(IF($N16&lt;&gt;"",$E16*$N16,$Q16)*IF($L16="",0,IFERROR(INDEX(Rates!$C$27:$C$32,MATCH($L16,Rates!$B$27:$B$32,0)),0)),2))</f>
        <v>0</v>
      </c>
      <c r="V16" s="33">
        <f>IF($E16="","",ROUND($S16+$T16+$U16,2))</f>
        <v>14762.06</v>
      </c>
      <c r="W16" s="33">
        <f>IF($E16="","",IF($E16=0,0,ROUND($V16/$E16,2)))</f>
        <v>9.78</v>
      </c>
      <c r="X16" s="34" t="str">
        <f>IF($E16="","",TRIM(IF(OR($I16&lt;&gt;"",$G16="",$Q16=0),"",IF(ISNA(MATCH($G16,Rates!$B$13:$B$22,0)),"Trade is not on your Rates list: priced at the standard rate. ",IF(INDEX(Rates!$C$13:$C$22,MATCH($G16,Rates!$B$13:$B$22,0))="","No rate typed yet for this trade. ","")))&amp;IF($L16="","",IF(ISNA(MATCH($L16,Rates!$B$27:$B$32,0)),"Equipment is not on your Rates list: no cost added. ",IF(INDEX(Rates!$C$27:$C$32,MATCH($L16,Rates!$B$27:$B$32,0))="","No rate typed yet for this equipment. ","")))))</f>
        <v/>
      </c>
    </row>
    <row r="17">
      <c r="B17" s="30" t="inlineStr">
        <is>
          <t>09 160</t>
        </is>
      </c>
      <c r="C17" s="22" t="inlineStr">
        <is>
          <t>Level 1</t>
        </is>
      </c>
      <c r="D17" s="31" t="inlineStr">
        <is>
          <t>Steel backing plates for casework and wall screens</t>
        </is>
      </c>
      <c r="E17" s="22" t="n">
        <v>40</v>
      </c>
      <c r="F17" s="22" t="inlineStr">
        <is>
          <t>ea</t>
        </is>
      </c>
      <c r="G17" s="22" t="inlineStr">
        <is>
          <t>Drywall apprentice</t>
        </is>
      </c>
      <c r="H17" s="22" t="n">
        <v>0.4</v>
      </c>
      <c r="I17" s="32" t="n"/>
      <c r="J17" s="32" t="n">
        <v>11.2</v>
      </c>
      <c r="K17" s="22" t="n">
        <v>0</v>
      </c>
      <c r="L17" s="22" t="n"/>
      <c r="M17" s="22" t="inlineStr">
        <is>
          <t>Meeting rooms</t>
        </is>
      </c>
      <c r="N17" s="22" t="n"/>
      <c r="O17" s="22" t="n"/>
      <c r="P17" s="31" t="n"/>
      <c r="Q17" s="33">
        <f>IF($E17="","",$E17*$H17)</f>
        <v>16</v>
      </c>
      <c r="R17" s="33">
        <f>IF($E17="","",IF($I17&lt;&gt;"",$I17,IF($G17="",Rates!$C$23,IFERROR(INDEX(Rates!$C$13:$C$22,MATCH($G17,Rates!$B$13:$B$22,0)),Rates!$C$23))))</f>
        <v>40</v>
      </c>
      <c r="S17" s="33">
        <f>IF($E17="","",ROUND($Q17*$R17,2))</f>
        <v>640</v>
      </c>
      <c r="T17" s="33">
        <f>IF($E17="","",ROUND($E17*$J17*(1+$K17/100),2))</f>
        <v>448</v>
      </c>
      <c r="U17" s="33">
        <f>IF($E17="","",ROUND(IF($N17&lt;&gt;"",$E17*$N17,$Q17)*IF($L17="",0,IFERROR(INDEX(Rates!$C$27:$C$32,MATCH($L17,Rates!$B$27:$B$32,0)),0)),2))</f>
        <v>0</v>
      </c>
      <c r="V17" s="33">
        <f>IF($E17="","",ROUND($S17+$T17+$U17,2))</f>
        <v>1088</v>
      </c>
      <c r="W17" s="33">
        <f>IF($E17="","",IF($E17=0,0,ROUND($V17/$E17,2)))</f>
        <v>27.2</v>
      </c>
      <c r="X17" s="34" t="str">
        <f>IF($E17="","",TRIM(IF(OR($I17&lt;&gt;"",$G17="",$Q17=0),"",IF(ISNA(MATCH($G17,Rates!$B$13:$B$22,0)),"Trade is not on your Rates list: priced at the standard rate. ",IF(INDEX(Rates!$C$13:$C$22,MATCH($G17,Rates!$B$13:$B$22,0))="","No rate typed yet for this trade. ","")))&amp;IF($L17="","",IF(ISNA(MATCH($L17,Rates!$B$27:$B$32,0)),"Equipment is not on your Rates list: no cost added. ",IF(INDEX(Rates!$C$27:$C$32,MATCH($L17,Rates!$B$27:$B$32,0))="","No rate typed yet for this equipment. ","")))))</f>
        <v/>
      </c>
    </row>
    <row r="18">
      <c r="B18" s="35" t="inlineStr">
        <is>
          <t>09 100</t>
        </is>
      </c>
      <c r="C18" s="36" t="inlineStr">
        <is>
          <t>Level 2</t>
        </is>
      </c>
      <c r="D18" s="37" t="inlineStr">
        <is>
          <t>Metal stud partitions, 3-5/8 in. at 16 in. o.c.</t>
        </is>
      </c>
      <c r="E18" s="36" t="n">
        <v>5810</v>
      </c>
      <c r="F18" s="36" t="inlineStr">
        <is>
          <t>SF</t>
        </is>
      </c>
      <c r="G18" s="36" t="inlineStr">
        <is>
          <t>Drywall carpenter</t>
        </is>
      </c>
      <c r="H18" s="36" t="n">
        <v>0.025</v>
      </c>
      <c r="I18" s="38" t="n"/>
      <c r="J18" s="38" t="n">
        <v>1.35</v>
      </c>
      <c r="K18" s="36" t="n">
        <v>5</v>
      </c>
      <c r="L18" s="36" t="n"/>
      <c r="M18" s="36" t="inlineStr">
        <is>
          <t>Open office</t>
        </is>
      </c>
      <c r="N18" s="36" t="n"/>
      <c r="O18" s="36" t="n"/>
      <c r="P18" s="37" t="n"/>
      <c r="Q18" s="33">
        <f>IF($E18="","",$E18*$H18)</f>
        <v>145.25</v>
      </c>
      <c r="R18" s="33">
        <f>IF($E18="","",IF($I18&lt;&gt;"",$I18,IF($G18="",Rates!$C$23,IFERROR(INDEX(Rates!$C$13:$C$22,MATCH($G18,Rates!$B$13:$B$22,0)),Rates!$C$23))))</f>
        <v>58</v>
      </c>
      <c r="S18" s="33">
        <f>IF($E18="","",ROUND($Q18*$R18,2))</f>
        <v>8424.5</v>
      </c>
      <c r="T18" s="33">
        <f>IF($E18="","",ROUND($E18*$J18*(1+$K18/100),2))</f>
        <v>8235.68</v>
      </c>
      <c r="U18" s="33">
        <f>IF($E18="","",ROUND(IF($N18&lt;&gt;"",$E18*$N18,$Q18)*IF($L18="",0,IFERROR(INDEX(Rates!$C$27:$C$32,MATCH($L18,Rates!$B$27:$B$32,0)),0)),2))</f>
        <v>0</v>
      </c>
      <c r="V18" s="33">
        <f>IF($E18="","",ROUND($S18+$T18+$U18,2))</f>
        <v>16660.18</v>
      </c>
      <c r="W18" s="33">
        <f>IF($E18="","",IF($E18=0,0,ROUND($V18/$E18,2)))</f>
        <v>2.87</v>
      </c>
      <c r="X18" s="34" t="str">
        <f>IF($E18="","",TRIM(IF(OR($I18&lt;&gt;"",$G18="",$Q18=0),"",IF(ISNA(MATCH($G18,Rates!$B$13:$B$22,0)),"Trade is not on your Rates list: priced at the standard rate. ",IF(INDEX(Rates!$C$13:$C$22,MATCH($G18,Rates!$B$13:$B$22,0))="","No rate typed yet for this trade. ","")))&amp;IF($L18="","",IF(ISNA(MATCH($L18,Rates!$B$27:$B$32,0)),"Equipment is not on your Rates list: no cost added. ",IF(INDEX(Rates!$C$27:$C$32,MATCH($L18,Rates!$B$27:$B$32,0))="","No rate typed yet for this equipment. ","")))))</f>
        <v/>
      </c>
    </row>
    <row r="19">
      <c r="B19" s="30" t="inlineStr">
        <is>
          <t>09 200</t>
        </is>
      </c>
      <c r="C19" s="22" t="inlineStr">
        <is>
          <t>Level 2</t>
        </is>
      </c>
      <c r="D19" s="31" t="inlineStr">
        <is>
          <t>1/2 in. gypsum board, both sides</t>
        </is>
      </c>
      <c r="E19" s="22" t="n">
        <v>11600</v>
      </c>
      <c r="F19" s="22" t="inlineStr">
        <is>
          <t>SF</t>
        </is>
      </c>
      <c r="G19" s="22" t="inlineStr">
        <is>
          <t>Drywall carpenter</t>
        </is>
      </c>
      <c r="H19" s="22" t="n">
        <v>0.012</v>
      </c>
      <c r="I19" s="32" t="n"/>
      <c r="J19" s="32" t="n">
        <v>0.55</v>
      </c>
      <c r="K19" s="22" t="n">
        <v>10</v>
      </c>
      <c r="L19" s="22" t="n"/>
      <c r="M19" s="22" t="inlineStr">
        <is>
          <t>Open office</t>
        </is>
      </c>
      <c r="N19" s="22" t="n"/>
      <c r="O19" s="22" t="n"/>
      <c r="P19" s="31" t="n"/>
      <c r="Q19" s="33">
        <f>IF($E19="","",$E19*$H19)</f>
        <v>139.20000000000002</v>
      </c>
      <c r="R19" s="33">
        <f>IF($E19="","",IF($I19&lt;&gt;"",$I19,IF($G19="",Rates!$C$23,IFERROR(INDEX(Rates!$C$13:$C$22,MATCH($G19,Rates!$B$13:$B$22,0)),Rates!$C$23))))</f>
        <v>58</v>
      </c>
      <c r="S19" s="33">
        <f>IF($E19="","",ROUND($Q19*$R19,2))</f>
        <v>8073.6</v>
      </c>
      <c r="T19" s="33">
        <f>IF($E19="","",ROUND($E19*$J19*(1+$K19/100),2))</f>
        <v>7018</v>
      </c>
      <c r="U19" s="33">
        <f>IF($E19="","",ROUND(IF($N19&lt;&gt;"",$E19*$N19,$Q19)*IF($L19="",0,IFERROR(INDEX(Rates!$C$27:$C$32,MATCH($L19,Rates!$B$27:$B$32,0)),0)),2))</f>
        <v>0</v>
      </c>
      <c r="V19" s="33">
        <f>IF($E19="","",ROUND($S19+$T19+$U19,2))</f>
        <v>15091.6</v>
      </c>
      <c r="W19" s="33">
        <f>IF($E19="","",IF($E19=0,0,ROUND($V19/$E19,2)))</f>
        <v>1.3</v>
      </c>
      <c r="X19" s="34" t="str">
        <f>IF($E19="","",TRIM(IF(OR($I19&lt;&gt;"",$G19="",$Q19=0),"",IF(ISNA(MATCH($G19,Rates!$B$13:$B$22,0)),"Trade is not on your Rates list: priced at the standard rate. ",IF(INDEX(Rates!$C$13:$C$22,MATCH($G19,Rates!$B$13:$B$22,0))="","No rate typed yet for this trade. ","")))&amp;IF($L19="","",IF(ISNA(MATCH($L19,Rates!$B$27:$B$32,0)),"Equipment is not on your Rates list: no cost added. ",IF(INDEX(Rates!$C$27:$C$32,MATCH($L19,Rates!$B$27:$B$32,0))="","No rate typed yet for this equipment. ","")))))</f>
        <v/>
      </c>
    </row>
    <row r="20">
      <c r="B20" s="35" t="inlineStr">
        <is>
          <t>09 400</t>
        </is>
      </c>
      <c r="C20" s="36" t="inlineStr">
        <is>
          <t>Level 2</t>
        </is>
      </c>
      <c r="D20" s="37" t="inlineStr">
        <is>
          <t>Tape and finish, Level 4</t>
        </is>
      </c>
      <c r="E20" s="36" t="n">
        <v>11600</v>
      </c>
      <c r="F20" s="36" t="inlineStr">
        <is>
          <t>SF</t>
        </is>
      </c>
      <c r="G20" s="36" t="inlineStr">
        <is>
          <t>Taper</t>
        </is>
      </c>
      <c r="H20" s="36" t="n">
        <v>0.01</v>
      </c>
      <c r="I20" s="38" t="n"/>
      <c r="J20" s="38" t="n">
        <v>0.08</v>
      </c>
      <c r="K20" s="36" t="n">
        <v>0</v>
      </c>
      <c r="L20" s="36" t="n"/>
      <c r="M20" s="36" t="inlineStr">
        <is>
          <t>Open office</t>
        </is>
      </c>
      <c r="N20" s="36" t="n"/>
      <c r="O20" s="36" t="n"/>
      <c r="P20" s="37" t="n"/>
      <c r="Q20" s="33">
        <f>IF($E20="","",$E20*$H20)</f>
        <v>116</v>
      </c>
      <c r="R20" s="33">
        <f>IF($E20="","",IF($I20&lt;&gt;"",$I20,IF($G20="",Rates!$C$23,IFERROR(INDEX(Rates!$C$13:$C$22,MATCH($G20,Rates!$B$13:$B$22,0)),Rates!$C$23))))</f>
        <v>56</v>
      </c>
      <c r="S20" s="33">
        <f>IF($E20="","",ROUND($Q20*$R20,2))</f>
        <v>6496</v>
      </c>
      <c r="T20" s="33">
        <f>IF($E20="","",ROUND($E20*$J20*(1+$K20/100),2))</f>
        <v>928</v>
      </c>
      <c r="U20" s="33">
        <f>IF($E20="","",ROUND(IF($N20&lt;&gt;"",$E20*$N20,$Q20)*IF($L20="",0,IFERROR(INDEX(Rates!$C$27:$C$32,MATCH($L20,Rates!$B$27:$B$32,0)),0)),2))</f>
        <v>0</v>
      </c>
      <c r="V20" s="33">
        <f>IF($E20="","",ROUND($S20+$T20+$U20,2))</f>
        <v>7424</v>
      </c>
      <c r="W20" s="33">
        <f>IF($E20="","",IF($E20=0,0,ROUND($V20/$E20,2)))</f>
        <v>0.64</v>
      </c>
      <c r="X20" s="34" t="str">
        <f>IF($E20="","",TRIM(IF(OR($I20&lt;&gt;"",$G20="",$Q20=0),"",IF(ISNA(MATCH($G20,Rates!$B$13:$B$22,0)),"Trade is not on your Rates list: priced at the standard rate. ",IF(INDEX(Rates!$C$13:$C$22,MATCH($G20,Rates!$B$13:$B$22,0))="","No rate typed yet for this trade. ","")))&amp;IF($L20="","",IF(ISNA(MATCH($L20,Rates!$B$27:$B$32,0)),"Equipment is not on your Rates list: no cost added. ",IF(INDEX(Rates!$C$27:$C$32,MATCH($L20,Rates!$B$27:$B$32,0))="","No rate typed yet for this equipment. ","")))))</f>
        <v/>
      </c>
    </row>
    <row r="21">
      <c r="B21" s="30" t="inlineStr">
        <is>
          <t>09 500</t>
        </is>
      </c>
      <c r="C21" s="22" t="inlineStr">
        <is>
          <t>Level 2</t>
        </is>
      </c>
      <c r="D21" s="31" t="inlineStr">
        <is>
          <t>Acoustical ceiling tile, 2 x 2 grid</t>
        </is>
      </c>
      <c r="E21" s="22" t="n">
        <v>9470</v>
      </c>
      <c r="F21" s="22" t="inlineStr">
        <is>
          <t>SF</t>
        </is>
      </c>
      <c r="G21" s="22" t="inlineStr">
        <is>
          <t>Drywall carpenter</t>
        </is>
      </c>
      <c r="H21" s="22" t="n">
        <v>0.018</v>
      </c>
      <c r="I21" s="32" t="n"/>
      <c r="J21" s="32" t="n">
        <v>3</v>
      </c>
      <c r="K21" s="22" t="n">
        <v>5</v>
      </c>
      <c r="L21" s="22" t="inlineStr">
        <is>
          <t>Scissor lift</t>
        </is>
      </c>
      <c r="M21" s="22" t="inlineStr">
        <is>
          <t>Open office</t>
        </is>
      </c>
      <c r="N21" s="22" t="n">
        <v>0.01</v>
      </c>
      <c r="O21" s="22" t="n"/>
      <c r="P21" s="31" t="n"/>
      <c r="Q21" s="33">
        <f>IF($E21="","",$E21*$H21)</f>
        <v>170.45999999999998</v>
      </c>
      <c r="R21" s="33">
        <f>IF($E21="","",IF($I21&lt;&gt;"",$I21,IF($G21="",Rates!$C$23,IFERROR(INDEX(Rates!$C$13:$C$22,MATCH($G21,Rates!$B$13:$B$22,0)),Rates!$C$23))))</f>
        <v>58</v>
      </c>
      <c r="S21" s="33">
        <f>IF($E21="","",ROUND($Q21*$R21,2))</f>
        <v>9886.68</v>
      </c>
      <c r="T21" s="33">
        <f>IF($E21="","",ROUND($E21*$J21*(1+$K21/100),2))</f>
        <v>29830.5</v>
      </c>
      <c r="U21" s="33">
        <f>IF($E21="","",ROUND(IF($N21&lt;&gt;"",$E21*$N21,$Q21)*IF($L21="",0,IFERROR(INDEX(Rates!$C$27:$C$32,MATCH($L21,Rates!$B$27:$B$32,0)),0)),2))</f>
        <v>2367.5</v>
      </c>
      <c r="V21" s="33">
        <f>IF($E21="","",ROUND($S21+$T21+$U21,2))</f>
        <v>42084.68</v>
      </c>
      <c r="W21" s="33">
        <f>IF($E21="","",IF($E21=0,0,ROUND($V21/$E21,2)))</f>
        <v>4.44</v>
      </c>
      <c r="X21" s="34" t="str">
        <f>IF($E21="","",TRIM(IF(OR($I21&lt;&gt;"",$G21="",$Q21=0),"",IF(ISNA(MATCH($G21,Rates!$B$13:$B$22,0)),"Trade is not on your Rates list: priced at the standard rate. ",IF(INDEX(Rates!$C$13:$C$22,MATCH($G21,Rates!$B$13:$B$22,0))="","No rate typed yet for this trade. ","")))&amp;IF($L21="","",IF(ISNA(MATCH($L21,Rates!$B$27:$B$32,0)),"Equipment is not on your Rates list: no cost added. ",IF(INDEX(Rates!$C$27:$C$32,MATCH($L21,Rates!$B$27:$B$32,0))="","No rate typed yet for this equipment. ","")))))</f>
        <v/>
      </c>
    </row>
    <row r="22">
      <c r="B22" s="35" t="inlineStr">
        <is>
          <t>09 130</t>
        </is>
      </c>
      <c r="C22" s="36" t="inlineStr">
        <is>
          <t>Level 2</t>
        </is>
      </c>
      <c r="D22" s="37" t="inlineStr">
        <is>
          <t>Soffits, framed and hung</t>
        </is>
      </c>
      <c r="E22" s="36" t="n">
        <v>210</v>
      </c>
      <c r="F22" s="36" t="inlineStr">
        <is>
          <t>LF</t>
        </is>
      </c>
      <c r="G22" s="36" t="inlineStr">
        <is>
          <t>Drywall carpenter</t>
        </is>
      </c>
      <c r="H22" s="36" t="n">
        <v>0.45</v>
      </c>
      <c r="I22" s="38" t="n"/>
      <c r="J22" s="38" t="n">
        <v>7.8</v>
      </c>
      <c r="K22" s="36" t="n">
        <v>0</v>
      </c>
      <c r="L22" s="36" t="n"/>
      <c r="M22" s="36" t="inlineStr">
        <is>
          <t>Corridors</t>
        </is>
      </c>
      <c r="N22" s="36" t="n"/>
      <c r="O22" s="36" t="n"/>
      <c r="P22" s="37" t="n"/>
      <c r="Q22" s="33">
        <f>IF($E22="","",$E22*$H22)</f>
        <v>94.5</v>
      </c>
      <c r="R22" s="33">
        <f>IF($E22="","",IF($I22&lt;&gt;"",$I22,IF($G22="",Rates!$C$23,IFERROR(INDEX(Rates!$C$13:$C$22,MATCH($G22,Rates!$B$13:$B$22,0)),Rates!$C$23))))</f>
        <v>58</v>
      </c>
      <c r="S22" s="33">
        <f>IF($E22="","",ROUND($Q22*$R22,2))</f>
        <v>5481</v>
      </c>
      <c r="T22" s="33">
        <f>IF($E22="","",ROUND($E22*$J22*(1+$K22/100),2))</f>
        <v>1638</v>
      </c>
      <c r="U22" s="33">
        <f>IF($E22="","",ROUND(IF($N22&lt;&gt;"",$E22*$N22,$Q22)*IF($L22="",0,IFERROR(INDEX(Rates!$C$27:$C$32,MATCH($L22,Rates!$B$27:$B$32,0)),0)),2))</f>
        <v>0</v>
      </c>
      <c r="V22" s="33">
        <f>IF($E22="","",ROUND($S22+$T22+$U22,2))</f>
        <v>7119</v>
      </c>
      <c r="W22" s="33">
        <f>IF($E22="","",IF($E22=0,0,ROUND($V22/$E22,2)))</f>
        <v>33.9</v>
      </c>
      <c r="X22" s="34" t="str">
        <f>IF($E22="","",TRIM(IF(OR($I22&lt;&gt;"",$G22="",$Q22=0),"",IF(ISNA(MATCH($G22,Rates!$B$13:$B$22,0)),"Trade is not on your Rates list: priced at the standard rate. ",IF(INDEX(Rates!$C$13:$C$22,MATCH($G22,Rates!$B$13:$B$22,0))="","No rate typed yet for this trade. ","")))&amp;IF($L22="","",IF(ISNA(MATCH($L22,Rates!$B$27:$B$32,0)),"Equipment is not on your Rates list: no cost added. ",IF(INDEX(Rates!$C$27:$C$32,MATCH($L22,Rates!$B$27:$B$32,0))="","No rate typed yet for this equipment. ","")))))</f>
        <v/>
      </c>
    </row>
    <row r="23">
      <c r="B23" s="30" t="inlineStr">
        <is>
          <t>09 230</t>
        </is>
      </c>
      <c r="C23" s="22" t="inlineStr">
        <is>
          <t>Level 2</t>
        </is>
      </c>
      <c r="D23" s="31" t="inlineStr">
        <is>
          <t>Moisture-resistant board, restroom walls</t>
        </is>
      </c>
      <c r="E23" s="22" t="n">
        <v>1940</v>
      </c>
      <c r="F23" s="22" t="inlineStr">
        <is>
          <t>SF</t>
        </is>
      </c>
      <c r="G23" s="22" t="inlineStr">
        <is>
          <t>Drywall carpenter</t>
        </is>
      </c>
      <c r="H23" s="22" t="n">
        <v>0.013</v>
      </c>
      <c r="I23" s="32" t="n"/>
      <c r="J23" s="32" t="n">
        <v>0.68</v>
      </c>
      <c r="K23" s="22" t="n">
        <v>10</v>
      </c>
      <c r="L23" s="22" t="n"/>
      <c r="M23" s="22" t="inlineStr">
        <is>
          <t>Restrooms</t>
        </is>
      </c>
      <c r="N23" s="22" t="n"/>
      <c r="O23" s="22" t="n"/>
      <c r="P23" s="31" t="n"/>
      <c r="Q23" s="33">
        <f>IF($E23="","",$E23*$H23)</f>
        <v>25.22</v>
      </c>
      <c r="R23" s="33">
        <f>IF($E23="","",IF($I23&lt;&gt;"",$I23,IF($G23="",Rates!$C$23,IFERROR(INDEX(Rates!$C$13:$C$22,MATCH($G23,Rates!$B$13:$B$22,0)),Rates!$C$23))))</f>
        <v>58</v>
      </c>
      <c r="S23" s="33">
        <f>IF($E23="","",ROUND($Q23*$R23,2))</f>
        <v>1462.76</v>
      </c>
      <c r="T23" s="33">
        <f>IF($E23="","",ROUND($E23*$J23*(1+$K23/100),2))</f>
        <v>1451.12</v>
      </c>
      <c r="U23" s="33">
        <f>IF($E23="","",ROUND(IF($N23&lt;&gt;"",$E23*$N23,$Q23)*IF($L23="",0,IFERROR(INDEX(Rates!$C$27:$C$32,MATCH($L23,Rates!$B$27:$B$32,0)),0)),2))</f>
        <v>0</v>
      </c>
      <c r="V23" s="33">
        <f>IF($E23="","",ROUND($S23+$T23+$U23,2))</f>
        <v>2913.88</v>
      </c>
      <c r="W23" s="33">
        <f>IF($E23="","",IF($E23=0,0,ROUND($V23/$E23,2)))</f>
        <v>1.5</v>
      </c>
      <c r="X23" s="34" t="str">
        <f>IF($E23="","",TRIM(IF(OR($I23&lt;&gt;"",$G23="",$Q23=0),"",IF(ISNA(MATCH($G23,Rates!$B$13:$B$22,0)),"Trade is not on your Rates list: priced at the standard rate. ",IF(INDEX(Rates!$C$13:$C$22,MATCH($G23,Rates!$B$13:$B$22,0))="","No rate typed yet for this trade. ","")))&amp;IF($L23="","",IF(ISNA(MATCH($L23,Rates!$B$27:$B$32,0)),"Equipment is not on your Rates list: no cost added. ",IF(INDEX(Rates!$C$27:$C$32,MATCH($L23,Rates!$B$27:$B$32,0))="","No rate typed yet for this equipment. ","")))))</f>
        <v/>
      </c>
    </row>
    <row r="24">
      <c r="B24" s="35" t="inlineStr">
        <is>
          <t>09 150</t>
        </is>
      </c>
      <c r="C24" s="36" t="inlineStr">
        <is>
          <t>Level 2</t>
        </is>
      </c>
      <c r="D24" s="37" t="inlineStr">
        <is>
          <t>Frame door openings in metal stud</t>
        </is>
      </c>
      <c r="E24" s="36" t="n">
        <v>26</v>
      </c>
      <c r="F24" s="36" t="inlineStr">
        <is>
          <t>ea</t>
        </is>
      </c>
      <c r="G24" s="36" t="inlineStr">
        <is>
          <t>Drywall carpenter</t>
        </is>
      </c>
      <c r="H24" s="36" t="n">
        <v>1.2</v>
      </c>
      <c r="I24" s="38" t="n"/>
      <c r="J24" s="38" t="n">
        <v>25.6</v>
      </c>
      <c r="K24" s="36" t="n">
        <v>0</v>
      </c>
      <c r="L24" s="36" t="n"/>
      <c r="M24" s="36" t="inlineStr">
        <is>
          <t>Open office</t>
        </is>
      </c>
      <c r="N24" s="36" t="n"/>
      <c r="O24" s="36" t="n"/>
      <c r="P24" s="37" t="n"/>
      <c r="Q24" s="33">
        <f>IF($E24="","",$E24*$H24)</f>
        <v>31.2</v>
      </c>
      <c r="R24" s="33">
        <f>IF($E24="","",IF($I24&lt;&gt;"",$I24,IF($G24="",Rates!$C$23,IFERROR(INDEX(Rates!$C$13:$C$22,MATCH($G24,Rates!$B$13:$B$22,0)),Rates!$C$23))))</f>
        <v>58</v>
      </c>
      <c r="S24" s="33">
        <f>IF($E24="","",ROUND($Q24*$R24,2))</f>
        <v>1809.6</v>
      </c>
      <c r="T24" s="33">
        <f>IF($E24="","",ROUND($E24*$J24*(1+$K24/100),2))</f>
        <v>665.6</v>
      </c>
      <c r="U24" s="33">
        <f>IF($E24="","",ROUND(IF($N24&lt;&gt;"",$E24*$N24,$Q24)*IF($L24="",0,IFERROR(INDEX(Rates!$C$27:$C$32,MATCH($L24,Rates!$B$27:$B$32,0)),0)),2))</f>
        <v>0</v>
      </c>
      <c r="V24" s="33">
        <f>IF($E24="","",ROUND($S24+$T24+$U24,2))</f>
        <v>2475.2</v>
      </c>
      <c r="W24" s="33">
        <f>IF($E24="","",IF($E24=0,0,ROUND($V24/$E24,2)))</f>
        <v>95.2</v>
      </c>
      <c r="X24" s="34" t="str">
        <f>IF($E24="","",TRIM(IF(OR($I24&lt;&gt;"",$G24="",$Q24=0),"",IF(ISNA(MATCH($G24,Rates!$B$13:$B$22,0)),"Trade is not on your Rates list: priced at the standard rate. ",IF(INDEX(Rates!$C$13:$C$22,MATCH($G24,Rates!$B$13:$B$22,0))="","No rate typed yet for this trade. ","")))&amp;IF($L24="","",IF(ISNA(MATCH($L24,Rates!$B$27:$B$32,0)),"Equipment is not on your Rates list: no cost added. ",IF(INDEX(Rates!$C$27:$C$32,MATCH($L24,Rates!$B$27:$B$32,0))="","No rate typed yet for this equipment. ","")))))</f>
        <v/>
      </c>
    </row>
    <row r="25" ht="29" customHeight="1">
      <c r="B25" s="30" t="inlineStr">
        <is>
          <t>09 250</t>
        </is>
      </c>
      <c r="C25" s="22" t="inlineStr">
        <is>
          <t>Level 2</t>
        </is>
      </c>
      <c r="D25" s="31" t="inlineStr">
        <is>
          <t>Acoustic partition to deck, 6 in. stud, 2 layers Type X</t>
        </is>
      </c>
      <c r="E25" s="22" t="n">
        <v>1290</v>
      </c>
      <c r="F25" s="22" t="inlineStr">
        <is>
          <t>SF</t>
        </is>
      </c>
      <c r="G25" s="22" t="inlineStr">
        <is>
          <t>Drywall carpenter</t>
        </is>
      </c>
      <c r="H25" s="22" t="n">
        <v>0.0883</v>
      </c>
      <c r="I25" s="32" t="n"/>
      <c r="J25" s="32" t="n">
        <v>4.31</v>
      </c>
      <c r="K25" s="22" t="n">
        <v>8</v>
      </c>
      <c r="L25" s="22" t="n"/>
      <c r="M25" s="22" t="inlineStr">
        <is>
          <t>Meeting rooms</t>
        </is>
      </c>
      <c r="N25" s="22" t="n"/>
      <c r="O25" s="22" t="n"/>
      <c r="P25" s="31" t="n"/>
      <c r="Q25" s="33">
        <f>IF($E25="","",$E25*$H25)</f>
        <v>113.90700000000001</v>
      </c>
      <c r="R25" s="33">
        <f>IF($E25="","",IF($I25&lt;&gt;"",$I25,IF($G25="",Rates!$C$23,IFERROR(INDEX(Rates!$C$13:$C$22,MATCH($G25,Rates!$B$13:$B$22,0)),Rates!$C$23))))</f>
        <v>58</v>
      </c>
      <c r="S25" s="33">
        <f>IF($E25="","",ROUND($Q25*$R25,2))</f>
        <v>6606.61</v>
      </c>
      <c r="T25" s="33">
        <f>IF($E25="","",ROUND($E25*$J25*(1+$K25/100),2))</f>
        <v>6004.69</v>
      </c>
      <c r="U25" s="33">
        <f>IF($E25="","",ROUND(IF($N25&lt;&gt;"",$E25*$N25,$Q25)*IF($L25="",0,IFERROR(INDEX(Rates!$C$27:$C$32,MATCH($L25,Rates!$B$27:$B$32,0)),0)),2))</f>
        <v>0</v>
      </c>
      <c r="V25" s="33">
        <f>IF($E25="","",ROUND($S25+$T25+$U25,2))</f>
        <v>12611.3</v>
      </c>
      <c r="W25" s="33">
        <f>IF($E25="","",IF($E25=0,0,ROUND($V25/$E25,2)))</f>
        <v>9.78</v>
      </c>
      <c r="X25" s="34" t="str">
        <f>IF($E25="","",TRIM(IF(OR($I25&lt;&gt;"",$G25="",$Q25=0),"",IF(ISNA(MATCH($G25,Rates!$B$13:$B$22,0)),"Trade is not on your Rates list: priced at the standard rate. ",IF(INDEX(Rates!$C$13:$C$22,MATCH($G25,Rates!$B$13:$B$22,0))="","No rate typed yet for this trade. ","")))&amp;IF($L25="","",IF(ISNA(MATCH($L25,Rates!$B$27:$B$32,0)),"Equipment is not on your Rates list: no cost added. ",IF(INDEX(Rates!$C$27:$C$32,MATCH($L25,Rates!$B$27:$B$32,0))="","No rate typed yet for this equipment. ","")))))</f>
        <v/>
      </c>
    </row>
    <row r="26">
      <c r="B26" s="35" t="inlineStr">
        <is>
          <t>09 100</t>
        </is>
      </c>
      <c r="C26" s="36" t="inlineStr">
        <is>
          <t>Level 3</t>
        </is>
      </c>
      <c r="D26" s="37" t="inlineStr">
        <is>
          <t>Metal stud partitions, 3-5/8 in. at 16 in. o.c.</t>
        </is>
      </c>
      <c r="E26" s="36" t="n">
        <v>5600</v>
      </c>
      <c r="F26" s="36" t="inlineStr">
        <is>
          <t>SF</t>
        </is>
      </c>
      <c r="G26" s="36" t="inlineStr">
        <is>
          <t>Drywall carpenter</t>
        </is>
      </c>
      <c r="H26" s="36" t="n">
        <v>0.025</v>
      </c>
      <c r="I26" s="38" t="n"/>
      <c r="J26" s="38" t="n">
        <v>1.35</v>
      </c>
      <c r="K26" s="36" t="n">
        <v>5</v>
      </c>
      <c r="L26" s="36" t="n"/>
      <c r="M26" s="36" t="inlineStr">
        <is>
          <t>Open office</t>
        </is>
      </c>
      <c r="N26" s="36" t="n"/>
      <c r="O26" s="36" t="n"/>
      <c r="P26" s="37" t="n"/>
      <c r="Q26" s="33">
        <f>IF($E26="","",$E26*$H26)</f>
        <v>140</v>
      </c>
      <c r="R26" s="33">
        <f>IF($E26="","",IF($I26&lt;&gt;"",$I26,IF($G26="",Rates!$C$23,IFERROR(INDEX(Rates!$C$13:$C$22,MATCH($G26,Rates!$B$13:$B$22,0)),Rates!$C$23))))</f>
        <v>58</v>
      </c>
      <c r="S26" s="33">
        <f>IF($E26="","",ROUND($Q26*$R26,2))</f>
        <v>8120</v>
      </c>
      <c r="T26" s="33">
        <f>IF($E26="","",ROUND($E26*$J26*(1+$K26/100),2))</f>
        <v>7938</v>
      </c>
      <c r="U26" s="33">
        <f>IF($E26="","",ROUND(IF($N26&lt;&gt;"",$E26*$N26,$Q26)*IF($L26="",0,IFERROR(INDEX(Rates!$C$27:$C$32,MATCH($L26,Rates!$B$27:$B$32,0)),0)),2))</f>
        <v>0</v>
      </c>
      <c r="V26" s="33">
        <f>IF($E26="","",ROUND($S26+$T26+$U26,2))</f>
        <v>16058</v>
      </c>
      <c r="W26" s="33">
        <f>IF($E26="","",IF($E26=0,0,ROUND($V26/$E26,2)))</f>
        <v>2.87</v>
      </c>
      <c r="X26" s="34" t="str">
        <f>IF($E26="","",TRIM(IF(OR($I26&lt;&gt;"",$G26="",$Q26=0),"",IF(ISNA(MATCH($G26,Rates!$B$13:$B$22,0)),"Trade is not on your Rates list: priced at the standard rate. ",IF(INDEX(Rates!$C$13:$C$22,MATCH($G26,Rates!$B$13:$B$22,0))="","No rate typed yet for this trade. ","")))&amp;IF($L26="","",IF(ISNA(MATCH($L26,Rates!$B$27:$B$32,0)),"Equipment is not on your Rates list: no cost added. ",IF(INDEX(Rates!$C$27:$C$32,MATCH($L26,Rates!$B$27:$B$32,0))="","No rate typed yet for this equipment. ","")))))</f>
        <v/>
      </c>
    </row>
    <row r="27">
      <c r="B27" s="30" t="inlineStr">
        <is>
          <t>09 200</t>
        </is>
      </c>
      <c r="C27" s="22" t="inlineStr">
        <is>
          <t>Level 3</t>
        </is>
      </c>
      <c r="D27" s="31" t="inlineStr">
        <is>
          <t>1/2 in. gypsum board, both sides</t>
        </is>
      </c>
      <c r="E27" s="22" t="n">
        <v>11200</v>
      </c>
      <c r="F27" s="22" t="inlineStr">
        <is>
          <t>SF</t>
        </is>
      </c>
      <c r="G27" s="22" t="inlineStr">
        <is>
          <t>Drywall carpenter</t>
        </is>
      </c>
      <c r="H27" s="22" t="n">
        <v>0.012</v>
      </c>
      <c r="I27" s="32" t="n"/>
      <c r="J27" s="32" t="n">
        <v>0.55</v>
      </c>
      <c r="K27" s="22" t="n">
        <v>10</v>
      </c>
      <c r="L27" s="22" t="n"/>
      <c r="M27" s="22" t="inlineStr">
        <is>
          <t>Open office</t>
        </is>
      </c>
      <c r="N27" s="22" t="n"/>
      <c r="O27" s="22" t="n"/>
      <c r="P27" s="31" t="n"/>
      <c r="Q27" s="33">
        <f>IF($E27="","",$E27*$H27)</f>
        <v>134.4</v>
      </c>
      <c r="R27" s="33">
        <f>IF($E27="","",IF($I27&lt;&gt;"",$I27,IF($G27="",Rates!$C$23,IFERROR(INDEX(Rates!$C$13:$C$22,MATCH($G27,Rates!$B$13:$B$22,0)),Rates!$C$23))))</f>
        <v>58</v>
      </c>
      <c r="S27" s="33">
        <f>IF($E27="","",ROUND($Q27*$R27,2))</f>
        <v>7795.2</v>
      </c>
      <c r="T27" s="33">
        <f>IF($E27="","",ROUND($E27*$J27*(1+$K27/100),2))</f>
        <v>6776</v>
      </c>
      <c r="U27" s="33">
        <f>IF($E27="","",ROUND(IF($N27&lt;&gt;"",$E27*$N27,$Q27)*IF($L27="",0,IFERROR(INDEX(Rates!$C$27:$C$32,MATCH($L27,Rates!$B$27:$B$32,0)),0)),2))</f>
        <v>0</v>
      </c>
      <c r="V27" s="33">
        <f>IF($E27="","",ROUND($S27+$T27+$U27,2))</f>
        <v>14571.2</v>
      </c>
      <c r="W27" s="33">
        <f>IF($E27="","",IF($E27=0,0,ROUND($V27/$E27,2)))</f>
        <v>1.3</v>
      </c>
      <c r="X27" s="34" t="str">
        <f>IF($E27="","",TRIM(IF(OR($I27&lt;&gt;"",$G27="",$Q27=0),"",IF(ISNA(MATCH($G27,Rates!$B$13:$B$22,0)),"Trade is not on your Rates list: priced at the standard rate. ",IF(INDEX(Rates!$C$13:$C$22,MATCH($G27,Rates!$B$13:$B$22,0))="","No rate typed yet for this trade. ","")))&amp;IF($L27="","",IF(ISNA(MATCH($L27,Rates!$B$27:$B$32,0)),"Equipment is not on your Rates list: no cost added. ",IF(INDEX(Rates!$C$27:$C$32,MATCH($L27,Rates!$B$27:$B$32,0))="","No rate typed yet for this equipment. ","")))))</f>
        <v/>
      </c>
    </row>
    <row r="28">
      <c r="B28" s="35" t="inlineStr">
        <is>
          <t>09 400</t>
        </is>
      </c>
      <c r="C28" s="36" t="inlineStr">
        <is>
          <t>Level 3</t>
        </is>
      </c>
      <c r="D28" s="37" t="inlineStr">
        <is>
          <t>Tape and finish, Level 4</t>
        </is>
      </c>
      <c r="E28" s="36" t="n">
        <v>11200</v>
      </c>
      <c r="F28" s="36" t="inlineStr">
        <is>
          <t>SF</t>
        </is>
      </c>
      <c r="G28" s="36" t="inlineStr">
        <is>
          <t>Taper</t>
        </is>
      </c>
      <c r="H28" s="36" t="n">
        <v>0.01</v>
      </c>
      <c r="I28" s="38" t="n"/>
      <c r="J28" s="38" t="n">
        <v>0.08</v>
      </c>
      <c r="K28" s="36" t="n">
        <v>0</v>
      </c>
      <c r="L28" s="36" t="n"/>
      <c r="M28" s="36" t="inlineStr">
        <is>
          <t>Open office</t>
        </is>
      </c>
      <c r="N28" s="36" t="n"/>
      <c r="O28" s="36" t="n"/>
      <c r="P28" s="37" t="n"/>
      <c r="Q28" s="33">
        <f>IF($E28="","",$E28*$H28)</f>
        <v>112</v>
      </c>
      <c r="R28" s="33">
        <f>IF($E28="","",IF($I28&lt;&gt;"",$I28,IF($G28="",Rates!$C$23,IFERROR(INDEX(Rates!$C$13:$C$22,MATCH($G28,Rates!$B$13:$B$22,0)),Rates!$C$23))))</f>
        <v>56</v>
      </c>
      <c r="S28" s="33">
        <f>IF($E28="","",ROUND($Q28*$R28,2))</f>
        <v>6272</v>
      </c>
      <c r="T28" s="33">
        <f>IF($E28="","",ROUND($E28*$J28*(1+$K28/100),2))</f>
        <v>896</v>
      </c>
      <c r="U28" s="33">
        <f>IF($E28="","",ROUND(IF($N28&lt;&gt;"",$E28*$N28,$Q28)*IF($L28="",0,IFERROR(INDEX(Rates!$C$27:$C$32,MATCH($L28,Rates!$B$27:$B$32,0)),0)),2))</f>
        <v>0</v>
      </c>
      <c r="V28" s="33">
        <f>IF($E28="","",ROUND($S28+$T28+$U28,2))</f>
        <v>7168</v>
      </c>
      <c r="W28" s="33">
        <f>IF($E28="","",IF($E28=0,0,ROUND($V28/$E28,2)))</f>
        <v>0.64</v>
      </c>
      <c r="X28" s="34" t="str">
        <f>IF($E28="","",TRIM(IF(OR($I28&lt;&gt;"",$G28="",$Q28=0),"",IF(ISNA(MATCH($G28,Rates!$B$13:$B$22,0)),"Trade is not on your Rates list: priced at the standard rate. ",IF(INDEX(Rates!$C$13:$C$22,MATCH($G28,Rates!$B$13:$B$22,0))="","No rate typed yet for this trade. ","")))&amp;IF($L28="","",IF(ISNA(MATCH($L28,Rates!$B$27:$B$32,0)),"Equipment is not on your Rates list: no cost added. ",IF(INDEX(Rates!$C$27:$C$32,MATCH($L28,Rates!$B$27:$B$32,0))="","No rate typed yet for this equipment. ","")))))</f>
        <v/>
      </c>
    </row>
    <row r="29">
      <c r="B29" s="30" t="inlineStr">
        <is>
          <t>09 500</t>
        </is>
      </c>
      <c r="C29" s="22" t="inlineStr">
        <is>
          <t>Level 3</t>
        </is>
      </c>
      <c r="D29" s="31" t="inlineStr">
        <is>
          <t>Acoustical ceiling tile, 2 x 2 grid</t>
        </is>
      </c>
      <c r="E29" s="22" t="n">
        <v>9260</v>
      </c>
      <c r="F29" s="22" t="inlineStr">
        <is>
          <t>SF</t>
        </is>
      </c>
      <c r="G29" s="22" t="inlineStr">
        <is>
          <t>Drywall carpenter</t>
        </is>
      </c>
      <c r="H29" s="22" t="n">
        <v>0.018</v>
      </c>
      <c r="I29" s="32" t="n"/>
      <c r="J29" s="32" t="n">
        <v>3</v>
      </c>
      <c r="K29" s="22" t="n">
        <v>5</v>
      </c>
      <c r="L29" s="22" t="inlineStr">
        <is>
          <t>Scissor lift</t>
        </is>
      </c>
      <c r="M29" s="22" t="inlineStr">
        <is>
          <t>Open office</t>
        </is>
      </c>
      <c r="N29" s="22" t="n">
        <v>0.01</v>
      </c>
      <c r="O29" s="22" t="n"/>
      <c r="P29" s="31" t="n"/>
      <c r="Q29" s="33">
        <f>IF($E29="","",$E29*$H29)</f>
        <v>166.67999999999998</v>
      </c>
      <c r="R29" s="33">
        <f>IF($E29="","",IF($I29&lt;&gt;"",$I29,IF($G29="",Rates!$C$23,IFERROR(INDEX(Rates!$C$13:$C$22,MATCH($G29,Rates!$B$13:$B$22,0)),Rates!$C$23))))</f>
        <v>58</v>
      </c>
      <c r="S29" s="33">
        <f>IF($E29="","",ROUND($Q29*$R29,2))</f>
        <v>9667.44</v>
      </c>
      <c r="T29" s="33">
        <f>IF($E29="","",ROUND($E29*$J29*(1+$K29/100),2))</f>
        <v>29169</v>
      </c>
      <c r="U29" s="33">
        <f>IF($E29="","",ROUND(IF($N29&lt;&gt;"",$E29*$N29,$Q29)*IF($L29="",0,IFERROR(INDEX(Rates!$C$27:$C$32,MATCH($L29,Rates!$B$27:$B$32,0)),0)),2))</f>
        <v>2315</v>
      </c>
      <c r="V29" s="33">
        <f>IF($E29="","",ROUND($S29+$T29+$U29,2))</f>
        <v>41151.44</v>
      </c>
      <c r="W29" s="33">
        <f>IF($E29="","",IF($E29=0,0,ROUND($V29/$E29,2)))</f>
        <v>4.44</v>
      </c>
      <c r="X29" s="34" t="str">
        <f>IF($E29="","",TRIM(IF(OR($I29&lt;&gt;"",$G29="",$Q29=0),"",IF(ISNA(MATCH($G29,Rates!$B$13:$B$22,0)),"Trade is not on your Rates list: priced at the standard rate. ",IF(INDEX(Rates!$C$13:$C$22,MATCH($G29,Rates!$B$13:$B$22,0))="","No rate typed yet for this trade. ","")))&amp;IF($L29="","",IF(ISNA(MATCH($L29,Rates!$B$27:$B$32,0)),"Equipment is not on your Rates list: no cost added. ",IF(INDEX(Rates!$C$27:$C$32,MATCH($L29,Rates!$B$27:$B$32,0))="","No rate typed yet for this equipment. ","")))))</f>
        <v/>
      </c>
    </row>
    <row r="30">
      <c r="B30" s="35" t="inlineStr">
        <is>
          <t>09 130</t>
        </is>
      </c>
      <c r="C30" s="36" t="inlineStr">
        <is>
          <t>Level 3</t>
        </is>
      </c>
      <c r="D30" s="37" t="inlineStr">
        <is>
          <t>Soffits, framed and hung</t>
        </is>
      </c>
      <c r="E30" s="36" t="n">
        <v>197</v>
      </c>
      <c r="F30" s="36" t="inlineStr">
        <is>
          <t>LF</t>
        </is>
      </c>
      <c r="G30" s="36" t="inlineStr">
        <is>
          <t>Drywall carpenter</t>
        </is>
      </c>
      <c r="H30" s="36" t="n">
        <v>0.45</v>
      </c>
      <c r="I30" s="38" t="n"/>
      <c r="J30" s="38" t="n">
        <v>7.8</v>
      </c>
      <c r="K30" s="36" t="n">
        <v>0</v>
      </c>
      <c r="L30" s="36" t="n"/>
      <c r="M30" s="36" t="inlineStr">
        <is>
          <t>Corridors</t>
        </is>
      </c>
      <c r="N30" s="36" t="n"/>
      <c r="O30" s="36" t="n"/>
      <c r="P30" s="37" t="n"/>
      <c r="Q30" s="33">
        <f>IF($E30="","",$E30*$H30)</f>
        <v>88.65</v>
      </c>
      <c r="R30" s="33">
        <f>IF($E30="","",IF($I30&lt;&gt;"",$I30,IF($G30="",Rates!$C$23,IFERROR(INDEX(Rates!$C$13:$C$22,MATCH($G30,Rates!$B$13:$B$22,0)),Rates!$C$23))))</f>
        <v>58</v>
      </c>
      <c r="S30" s="33">
        <f>IF($E30="","",ROUND($Q30*$R30,2))</f>
        <v>5141.7</v>
      </c>
      <c r="T30" s="33">
        <f>IF($E30="","",ROUND($E30*$J30*(1+$K30/100),2))</f>
        <v>1536.6</v>
      </c>
      <c r="U30" s="33">
        <f>IF($E30="","",ROUND(IF($N30&lt;&gt;"",$E30*$N30,$Q30)*IF($L30="",0,IFERROR(INDEX(Rates!$C$27:$C$32,MATCH($L30,Rates!$B$27:$B$32,0)),0)),2))</f>
        <v>0</v>
      </c>
      <c r="V30" s="33">
        <f>IF($E30="","",ROUND($S30+$T30+$U30,2))</f>
        <v>6678.3</v>
      </c>
      <c r="W30" s="33">
        <f>IF($E30="","",IF($E30=0,0,ROUND($V30/$E30,2)))</f>
        <v>33.9</v>
      </c>
      <c r="X30" s="34" t="str">
        <f>IF($E30="","",TRIM(IF(OR($I30&lt;&gt;"",$G30="",$Q30=0),"",IF(ISNA(MATCH($G30,Rates!$B$13:$B$22,0)),"Trade is not on your Rates list: priced at the standard rate. ",IF(INDEX(Rates!$C$13:$C$22,MATCH($G30,Rates!$B$13:$B$22,0))="","No rate typed yet for this trade. ","")))&amp;IF($L30="","",IF(ISNA(MATCH($L30,Rates!$B$27:$B$32,0)),"Equipment is not on your Rates list: no cost added. ",IF(INDEX(Rates!$C$27:$C$32,MATCH($L30,Rates!$B$27:$B$32,0))="","No rate typed yet for this equipment. ","")))))</f>
        <v/>
      </c>
    </row>
    <row r="31" ht="29" customHeight="1">
      <c r="B31" s="30" t="inlineStr">
        <is>
          <t>09 250</t>
        </is>
      </c>
      <c r="C31" s="22" t="inlineStr">
        <is>
          <t>Level 3</t>
        </is>
      </c>
      <c r="D31" s="31" t="inlineStr">
        <is>
          <t>Acoustic partition to deck, 6 in. stud, 2 layers Type X</t>
        </is>
      </c>
      <c r="E31" s="22" t="n">
        <v>1720</v>
      </c>
      <c r="F31" s="22" t="inlineStr">
        <is>
          <t>SF</t>
        </is>
      </c>
      <c r="G31" s="22" t="inlineStr">
        <is>
          <t>Drywall carpenter</t>
        </is>
      </c>
      <c r="H31" s="22" t="n">
        <v>0.0883</v>
      </c>
      <c r="I31" s="32" t="n"/>
      <c r="J31" s="32" t="n">
        <v>4.31</v>
      </c>
      <c r="K31" s="22" t="n">
        <v>8</v>
      </c>
      <c r="L31" s="22" t="n"/>
      <c r="M31" s="22" t="inlineStr">
        <is>
          <t>Meeting rooms</t>
        </is>
      </c>
      <c r="N31" s="22" t="n"/>
      <c r="O31" s="22" t="n"/>
      <c r="P31" s="31" t="n"/>
      <c r="Q31" s="33">
        <f>IF($E31="","",$E31*$H31)</f>
        <v>151.876</v>
      </c>
      <c r="R31" s="33">
        <f>IF($E31="","",IF($I31&lt;&gt;"",$I31,IF($G31="",Rates!$C$23,IFERROR(INDEX(Rates!$C$13:$C$22,MATCH($G31,Rates!$B$13:$B$22,0)),Rates!$C$23))))</f>
        <v>58</v>
      </c>
      <c r="S31" s="33">
        <f>IF($E31="","",ROUND($Q31*$R31,2))</f>
        <v>8808.81</v>
      </c>
      <c r="T31" s="33">
        <f>IF($E31="","",ROUND($E31*$J31*(1+$K31/100),2))</f>
        <v>8006.26</v>
      </c>
      <c r="U31" s="33">
        <f>IF($E31="","",ROUND(IF($N31&lt;&gt;"",$E31*$N31,$Q31)*IF($L31="",0,IFERROR(INDEX(Rates!$C$27:$C$32,MATCH($L31,Rates!$B$27:$B$32,0)),0)),2))</f>
        <v>0</v>
      </c>
      <c r="V31" s="33">
        <f>IF($E31="","",ROUND($S31+$T31+$U31,2))</f>
        <v>16815.07</v>
      </c>
      <c r="W31" s="33">
        <f>IF($E31="","",IF($E31=0,0,ROUND($V31/$E31,2)))</f>
        <v>9.78</v>
      </c>
      <c r="X31" s="34" t="str">
        <f>IF($E31="","",TRIM(IF(OR($I31&lt;&gt;"",$G31="",$Q31=0),"",IF(ISNA(MATCH($G31,Rates!$B$13:$B$22,0)),"Trade is not on your Rates list: priced at the standard rate. ",IF(INDEX(Rates!$C$13:$C$22,MATCH($G31,Rates!$B$13:$B$22,0))="","No rate typed yet for this trade. ","")))&amp;IF($L31="","",IF(ISNA(MATCH($L31,Rates!$B$27:$B$32,0)),"Equipment is not on your Rates list: no cost added. ",IF(INDEX(Rates!$C$27:$C$32,MATCH($L31,Rates!$B$27:$B$32,0))="","No rate typed yet for this equipment. ","")))))</f>
        <v/>
      </c>
    </row>
    <row r="32">
      <c r="B32" s="35" t="inlineStr">
        <is>
          <t>09 310</t>
        </is>
      </c>
      <c r="C32" s="36" t="inlineStr">
        <is>
          <t>Level 3</t>
        </is>
      </c>
      <c r="D32" s="37" t="inlineStr">
        <is>
          <t>Sound blanket over meeting room ceilings</t>
        </is>
      </c>
      <c r="E32" s="36" t="n">
        <v>3230</v>
      </c>
      <c r="F32" s="36" t="inlineStr">
        <is>
          <t>SF</t>
        </is>
      </c>
      <c r="G32" s="36" t="inlineStr">
        <is>
          <t>Laborer</t>
        </is>
      </c>
      <c r="H32" s="36" t="n">
        <v>0.00465</v>
      </c>
      <c r="I32" s="38" t="n"/>
      <c r="J32" s="38" t="n">
        <v>0.48</v>
      </c>
      <c r="K32" s="36" t="n">
        <v>5</v>
      </c>
      <c r="L32" s="36" t="n"/>
      <c r="M32" s="36" t="inlineStr">
        <is>
          <t>Meeting rooms</t>
        </is>
      </c>
      <c r="N32" s="36" t="n"/>
      <c r="O32" s="36" t="n"/>
      <c r="P32" s="37" t="n"/>
      <c r="Q32" s="33">
        <f>IF($E32="","",$E32*$H32)</f>
        <v>15.019499999999999</v>
      </c>
      <c r="R32" s="33">
        <f>IF($E32="","",IF($I32&lt;&gt;"",$I32,IF($G32="",Rates!$C$23,IFERROR(INDEX(Rates!$C$13:$C$22,MATCH($G32,Rates!$B$13:$B$22,0)),Rates!$C$23))))</f>
        <v>45</v>
      </c>
      <c r="S32" s="33">
        <f>IF($E32="","",ROUND($Q32*$R32,2))</f>
        <v>675.88</v>
      </c>
      <c r="T32" s="33">
        <f>IF($E32="","",ROUND($E32*$J32*(1+$K32/100),2))</f>
        <v>1627.92</v>
      </c>
      <c r="U32" s="33">
        <f>IF($E32="","",ROUND(IF($N32&lt;&gt;"",$E32*$N32,$Q32)*IF($L32="",0,IFERROR(INDEX(Rates!$C$27:$C$32,MATCH($L32,Rates!$B$27:$B$32,0)),0)),2))</f>
        <v>0</v>
      </c>
      <c r="V32" s="33">
        <f>IF($E32="","",ROUND($S32+$T32+$U32,2))</f>
        <v>2303.8</v>
      </c>
      <c r="W32" s="33">
        <f>IF($E32="","",IF($E32=0,0,ROUND($V32/$E32,2)))</f>
        <v>0.71</v>
      </c>
      <c r="X32" s="34" t="str">
        <f>IF($E32="","",TRIM(IF(OR($I32&lt;&gt;"",$G32="",$Q32=0),"",IF(ISNA(MATCH($G32,Rates!$B$13:$B$22,0)),"Trade is not on your Rates list: priced at the standard rate. ",IF(INDEX(Rates!$C$13:$C$22,MATCH($G32,Rates!$B$13:$B$22,0))="","No rate typed yet for this trade. ","")))&amp;IF($L32="","",IF(ISNA(MATCH($L32,Rates!$B$27:$B$32,0)),"Equipment is not on your Rates list: no cost added. ",IF(INDEX(Rates!$C$27:$C$32,MATCH($L32,Rates!$B$27:$B$32,0))="","No rate typed yet for this equipment. ","")))))</f>
        <v/>
      </c>
    </row>
    <row r="33" ht="29" customHeight="1">
      <c r="B33" s="30" t="inlineStr">
        <is>
          <t>09 140</t>
        </is>
      </c>
      <c r="C33" s="22" t="inlineStr">
        <is>
          <t>Core and stairwells</t>
        </is>
      </c>
      <c r="D33" s="31" t="inlineStr">
        <is>
          <t>Shaft wall, CH stud, 1 in. liner and 2 layers 5/8 in. Type X</t>
        </is>
      </c>
      <c r="E33" s="22" t="n">
        <v>2800</v>
      </c>
      <c r="F33" s="22" t="inlineStr">
        <is>
          <t>SF</t>
        </is>
      </c>
      <c r="G33" s="22" t="inlineStr">
        <is>
          <t>Drywall carpenter</t>
        </is>
      </c>
      <c r="H33" s="22" t="n">
        <v>0.0975</v>
      </c>
      <c r="I33" s="32" t="n"/>
      <c r="J33" s="32" t="n">
        <v>5.35</v>
      </c>
      <c r="K33" s="22" t="n">
        <v>8</v>
      </c>
      <c r="L33" s="22" t="n"/>
      <c r="M33" s="22" t="inlineStr">
        <is>
          <t>Stairwells</t>
        </is>
      </c>
      <c r="N33" s="22" t="n"/>
      <c r="O33" s="22" t="n"/>
      <c r="P33" s="31" t="n"/>
      <c r="Q33" s="33">
        <f>IF($E33="","",$E33*$H33)</f>
        <v>273</v>
      </c>
      <c r="R33" s="33">
        <f>IF($E33="","",IF($I33&lt;&gt;"",$I33,IF($G33="",Rates!$C$23,IFERROR(INDEX(Rates!$C$13:$C$22,MATCH($G33,Rates!$B$13:$B$22,0)),Rates!$C$23))))</f>
        <v>58</v>
      </c>
      <c r="S33" s="33">
        <f>IF($E33="","",ROUND($Q33*$R33,2))</f>
        <v>15834</v>
      </c>
      <c r="T33" s="33">
        <f>IF($E33="","",ROUND($E33*$J33*(1+$K33/100),2))</f>
        <v>16178.4</v>
      </c>
      <c r="U33" s="33">
        <f>IF($E33="","",ROUND(IF($N33&lt;&gt;"",$E33*$N33,$Q33)*IF($L33="",0,IFERROR(INDEX(Rates!$C$27:$C$32,MATCH($L33,Rates!$B$27:$B$32,0)),0)),2))</f>
        <v>0</v>
      </c>
      <c r="V33" s="33">
        <f>IF($E33="","",ROUND($S33+$T33+$U33,2))</f>
        <v>32012.4</v>
      </c>
      <c r="W33" s="33">
        <f>IF($E33="","",IF($E33=0,0,ROUND($V33/$E33,2)))</f>
        <v>11.43</v>
      </c>
      <c r="X33" s="34" t="str">
        <f>IF($E33="","",TRIM(IF(OR($I33&lt;&gt;"",$G33="",$Q33=0),"",IF(ISNA(MATCH($G33,Rates!$B$13:$B$22,0)),"Trade is not on your Rates list: priced at the standard rate. ",IF(INDEX(Rates!$C$13:$C$22,MATCH($G33,Rates!$B$13:$B$22,0))="","No rate typed yet for this trade. ","")))&amp;IF($L33="","",IF(ISNA(MATCH($L33,Rates!$B$27:$B$32,0)),"Equipment is not on your Rates list: no cost added. ",IF(INDEX(Rates!$C$27:$C$32,MATCH($L33,Rates!$B$27:$B$32,0))="","No rate typed yet for this equipment. ","")))))</f>
        <v/>
      </c>
    </row>
    <row r="34">
      <c r="B34" s="35" t="inlineStr">
        <is>
          <t>09 120</t>
        </is>
      </c>
      <c r="C34" s="36" t="inlineStr">
        <is>
          <t>Core and stairwells</t>
        </is>
      </c>
      <c r="D34" s="37" t="inlineStr">
        <is>
          <t>Stairwell walls, furring and board, high work</t>
        </is>
      </c>
      <c r="E34" s="36" t="n">
        <v>2370</v>
      </c>
      <c r="F34" s="36" t="inlineStr">
        <is>
          <t>SF</t>
        </is>
      </c>
      <c r="G34" s="36" t="inlineStr">
        <is>
          <t>Drywall carpenter</t>
        </is>
      </c>
      <c r="H34" s="36" t="n">
        <v>0.0465</v>
      </c>
      <c r="I34" s="38" t="n"/>
      <c r="J34" s="38" t="n">
        <v>1.19</v>
      </c>
      <c r="K34" s="36" t="n">
        <v>10</v>
      </c>
      <c r="L34" s="36" t="inlineStr">
        <is>
          <t>Rolling scaffold tower</t>
        </is>
      </c>
      <c r="M34" s="36" t="inlineStr">
        <is>
          <t>Stairwells</t>
        </is>
      </c>
      <c r="N34" s="36" t="n">
        <v>0.0186</v>
      </c>
      <c r="O34" s="36" t="n"/>
      <c r="P34" s="37" t="n"/>
      <c r="Q34" s="33">
        <f>IF($E34="","",$E34*$H34)</f>
        <v>110.205</v>
      </c>
      <c r="R34" s="33">
        <f>IF($E34="","",IF($I34&lt;&gt;"",$I34,IF($G34="",Rates!$C$23,IFERROR(INDEX(Rates!$C$13:$C$22,MATCH($G34,Rates!$B$13:$B$22,0)),Rates!$C$23))))</f>
        <v>58</v>
      </c>
      <c r="S34" s="33">
        <f>IF($E34="","",ROUND($Q34*$R34,2))</f>
        <v>6391.89</v>
      </c>
      <c r="T34" s="33">
        <f>IF($E34="","",ROUND($E34*$J34*(1+$K34/100),2))</f>
        <v>3102.33</v>
      </c>
      <c r="U34" s="33">
        <f>IF($E34="","",ROUND(IF($N34&lt;&gt;"",$E34*$N34,$Q34)*IF($L34="",0,IFERROR(INDEX(Rates!$C$27:$C$32,MATCH($L34,Rates!$B$27:$B$32,0)),0)),2))</f>
        <v>352.66</v>
      </c>
      <c r="V34" s="33">
        <f>IF($E34="","",ROUND($S34+$T34+$U34,2))</f>
        <v>9846.88</v>
      </c>
      <c r="W34" s="33">
        <f>IF($E34="","",IF($E34=0,0,ROUND($V34/$E34,2)))</f>
        <v>4.15</v>
      </c>
      <c r="X34" s="34" t="str">
        <f>IF($E34="","",TRIM(IF(OR($I34&lt;&gt;"",$G34="",$Q34=0),"",IF(ISNA(MATCH($G34,Rates!$B$13:$B$22,0)),"Trade is not on your Rates list: priced at the standard rate. ",IF(INDEX(Rates!$C$13:$C$22,MATCH($G34,Rates!$B$13:$B$22,0))="","No rate typed yet for this trade. ","")))&amp;IF($L34="","",IF(ISNA(MATCH($L34,Rates!$B$27:$B$32,0)),"Equipment is not on your Rates list: no cost added. ",IF(INDEX(Rates!$C$27:$C$32,MATCH($L34,Rates!$B$27:$B$32,0))="","No rate typed yet for this equipment. ","")))))</f>
        <v/>
      </c>
    </row>
    <row r="35">
      <c r="B35" s="30" t="inlineStr">
        <is>
          <t>09 400</t>
        </is>
      </c>
      <c r="C35" s="22" t="inlineStr">
        <is>
          <t>Core and stairwells</t>
        </is>
      </c>
      <c r="D35" s="31" t="inlineStr">
        <is>
          <t>Tape and finish, Level 4</t>
        </is>
      </c>
      <c r="E35" s="22" t="n">
        <v>7530</v>
      </c>
      <c r="F35" s="22" t="inlineStr">
        <is>
          <t>SF</t>
        </is>
      </c>
      <c r="G35" s="22" t="inlineStr">
        <is>
          <t>Taper</t>
        </is>
      </c>
      <c r="H35" s="22" t="n">
        <v>0.01</v>
      </c>
      <c r="I35" s="32" t="n"/>
      <c r="J35" s="32" t="n">
        <v>0.08</v>
      </c>
      <c r="K35" s="22" t="n">
        <v>0</v>
      </c>
      <c r="L35" s="22" t="n"/>
      <c r="M35" s="22" t="inlineStr">
        <is>
          <t>Stairwells</t>
        </is>
      </c>
      <c r="N35" s="22" t="n"/>
      <c r="O35" s="22" t="n"/>
      <c r="P35" s="31" t="n"/>
      <c r="Q35" s="33">
        <f>IF($E35="","",$E35*$H35)</f>
        <v>75.3</v>
      </c>
      <c r="R35" s="33">
        <f>IF($E35="","",IF($I35&lt;&gt;"",$I35,IF($G35="",Rates!$C$23,IFERROR(INDEX(Rates!$C$13:$C$22,MATCH($G35,Rates!$B$13:$B$22,0)),Rates!$C$23))))</f>
        <v>56</v>
      </c>
      <c r="S35" s="33">
        <f>IF($E35="","",ROUND($Q35*$R35,2))</f>
        <v>4216.8</v>
      </c>
      <c r="T35" s="33">
        <f>IF($E35="","",ROUND($E35*$J35*(1+$K35/100),2))</f>
        <v>602.4</v>
      </c>
      <c r="U35" s="33">
        <f>IF($E35="","",ROUND(IF($N35&lt;&gt;"",$E35*$N35,$Q35)*IF($L35="",0,IFERROR(INDEX(Rates!$C$27:$C$32,MATCH($L35,Rates!$B$27:$B$32,0)),0)),2))</f>
        <v>0</v>
      </c>
      <c r="V35" s="33">
        <f>IF($E35="","",ROUND($S35+$T35+$U35,2))</f>
        <v>4819.2</v>
      </c>
      <c r="W35" s="33">
        <f>IF($E35="","",IF($E35=0,0,ROUND($V35/$E35,2)))</f>
        <v>0.64</v>
      </c>
      <c r="X35" s="34" t="str">
        <f>IF($E35="","",TRIM(IF(OR($I35&lt;&gt;"",$G35="",$Q35=0),"",IF(ISNA(MATCH($G35,Rates!$B$13:$B$22,0)),"Trade is not on your Rates list: priced at the standard rate. ",IF(INDEX(Rates!$C$13:$C$22,MATCH($G35,Rates!$B$13:$B$22,0))="","No rate typed yet for this trade. ","")))&amp;IF($L35="","",IF(ISNA(MATCH($L35,Rates!$B$27:$B$32,0)),"Equipment is not on your Rates list: no cost added. ",IF(INDEX(Rates!$C$27:$C$32,MATCH($L35,Rates!$B$27:$B$32,0))="","No rate typed yet for this equipment. ","")))))</f>
        <v/>
      </c>
    </row>
    <row r="36">
      <c r="B36" s="35" t="inlineStr">
        <is>
          <t>09 320</t>
        </is>
      </c>
      <c r="C36" s="36" t="inlineStr">
        <is>
          <t>General</t>
        </is>
      </c>
      <c r="D36" s="37" t="inlineStr">
        <is>
          <t>Fire-rated sealant at partition heads</t>
        </is>
      </c>
      <c r="E36" s="36" t="n">
        <v>2950</v>
      </c>
      <c r="F36" s="36" t="inlineStr">
        <is>
          <t>LF</t>
        </is>
      </c>
      <c r="G36" s="36" t="inlineStr">
        <is>
          <t>Drywall apprentice</t>
        </is>
      </c>
      <c r="H36" s="36" t="n">
        <v>0.009140000000000001</v>
      </c>
      <c r="I36" s="38" t="n"/>
      <c r="J36" s="38" t="n">
        <v>0.39</v>
      </c>
      <c r="K36" s="36" t="n">
        <v>0</v>
      </c>
      <c r="L36" s="36" t="n"/>
      <c r="M36" s="36" t="inlineStr">
        <is>
          <t>Corridors</t>
        </is>
      </c>
      <c r="N36" s="36" t="n"/>
      <c r="O36" s="36" t="n"/>
      <c r="P36" s="37" t="n"/>
      <c r="Q36" s="33">
        <f>IF($E36="","",$E36*$H36)</f>
        <v>26.963</v>
      </c>
      <c r="R36" s="33">
        <f>IF($E36="","",IF($I36&lt;&gt;"",$I36,IF($G36="",Rates!$C$23,IFERROR(INDEX(Rates!$C$13:$C$22,MATCH($G36,Rates!$B$13:$B$22,0)),Rates!$C$23))))</f>
        <v>40</v>
      </c>
      <c r="S36" s="33">
        <f>IF($E36="","",ROUND($Q36*$R36,2))</f>
        <v>1078.52</v>
      </c>
      <c r="T36" s="33">
        <f>IF($E36="","",ROUND($E36*$J36*(1+$K36/100),2))</f>
        <v>1150.5</v>
      </c>
      <c r="U36" s="33">
        <f>IF($E36="","",ROUND(IF($N36&lt;&gt;"",$E36*$N36,$Q36)*IF($L36="",0,IFERROR(INDEX(Rates!$C$27:$C$32,MATCH($L36,Rates!$B$27:$B$32,0)),0)),2))</f>
        <v>0</v>
      </c>
      <c r="V36" s="33">
        <f>IF($E36="","",ROUND($S36+$T36+$U36,2))</f>
        <v>2229.02</v>
      </c>
      <c r="W36" s="33">
        <f>IF($E36="","",IF($E36=0,0,ROUND($V36/$E36,2)))</f>
        <v>0.76</v>
      </c>
      <c r="X36" s="34" t="str">
        <f>IF($E36="","",TRIM(IF(OR($I36&lt;&gt;"",$G36="",$Q36=0),"",IF(ISNA(MATCH($G36,Rates!$B$13:$B$22,0)),"Trade is not on your Rates list: priced at the standard rate. ",IF(INDEX(Rates!$C$13:$C$22,MATCH($G36,Rates!$B$13:$B$22,0))="","No rate typed yet for this trade. ","")))&amp;IF($L36="","",IF(ISNA(MATCH($L36,Rates!$B$27:$B$32,0)),"Equipment is not on your Rates list: no cost added. ",IF(INDEX(Rates!$C$27:$C$32,MATCH($L36,Rates!$B$27:$B$32,0))="","No rate typed yet for this equipment. ","")))))</f>
        <v/>
      </c>
    </row>
    <row r="37">
      <c r="B37" s="30" t="inlineStr">
        <is>
          <t>09 540</t>
        </is>
      </c>
      <c r="C37" s="22" t="inlineStr">
        <is>
          <t>General</t>
        </is>
      </c>
      <c r="D37" s="31" t="inlineStr">
        <is>
          <t>Install access panels, furnished by others</t>
        </is>
      </c>
      <c r="E37" s="22" t="n">
        <v>36</v>
      </c>
      <c r="F37" s="22" t="inlineStr">
        <is>
          <t>ea</t>
        </is>
      </c>
      <c r="G37" s="22" t="inlineStr">
        <is>
          <t>Drywall apprentice</t>
        </is>
      </c>
      <c r="H37" s="22" t="n">
        <v>0.8</v>
      </c>
      <c r="I37" s="32" t="n"/>
      <c r="J37" s="32" t="n">
        <v>3.2</v>
      </c>
      <c r="K37" s="22" t="n">
        <v>0</v>
      </c>
      <c r="L37" s="22" t="n"/>
      <c r="M37" s="22" t="inlineStr">
        <is>
          <t>Corridors</t>
        </is>
      </c>
      <c r="N37" s="22" t="n"/>
      <c r="O37" s="22" t="n"/>
      <c r="P37" s="31" t="n"/>
      <c r="Q37" s="33">
        <f>IF($E37="","",$E37*$H37)</f>
        <v>28.8</v>
      </c>
      <c r="R37" s="33">
        <f>IF($E37="","",IF($I37&lt;&gt;"",$I37,IF($G37="",Rates!$C$23,IFERROR(INDEX(Rates!$C$13:$C$22,MATCH($G37,Rates!$B$13:$B$22,0)),Rates!$C$23))))</f>
        <v>40</v>
      </c>
      <c r="S37" s="33">
        <f>IF($E37="","",ROUND($Q37*$R37,2))</f>
        <v>1152</v>
      </c>
      <c r="T37" s="33">
        <f>IF($E37="","",ROUND($E37*$J37*(1+$K37/100),2))</f>
        <v>115.2</v>
      </c>
      <c r="U37" s="33">
        <f>IF($E37="","",ROUND(IF($N37&lt;&gt;"",$E37*$N37,$Q37)*IF($L37="",0,IFERROR(INDEX(Rates!$C$27:$C$32,MATCH($L37,Rates!$B$27:$B$32,0)),0)),2))</f>
        <v>0</v>
      </c>
      <c r="V37" s="33">
        <f>IF($E37="","",ROUND($S37+$T37+$U37,2))</f>
        <v>1267.2</v>
      </c>
      <c r="W37" s="33">
        <f>IF($E37="","",IF($E37=0,0,ROUND($V37/$E37,2)))</f>
        <v>35.2</v>
      </c>
      <c r="X37" s="34" t="str">
        <f>IF($E37="","",TRIM(IF(OR($I37&lt;&gt;"",$G37="",$Q37=0),"",IF(ISNA(MATCH($G37,Rates!$B$13:$B$22,0)),"Trade is not on your Rates list: priced at the standard rate. ",IF(INDEX(Rates!$C$13:$C$22,MATCH($G37,Rates!$B$13:$B$22,0))="","No rate typed yet for this trade. ","")))&amp;IF($L37="","",IF(ISNA(MATCH($L37,Rates!$B$27:$B$32,0)),"Equipment is not on your Rates list: no cost added. ",IF(INDEX(Rates!$C$27:$C$32,MATCH($L37,Rates!$B$27:$B$32,0))="","No rate typed yet for this equipment. ","")))))</f>
        <v/>
      </c>
    </row>
    <row r="38">
      <c r="B38" s="35" t="inlineStr">
        <is>
          <t>09 280</t>
        </is>
      </c>
      <c r="C38" s="36" t="inlineStr">
        <is>
          <t>General</t>
        </is>
      </c>
      <c r="D38" s="37" t="inlineStr">
        <is>
          <t>Patch and repair after other trades</t>
        </is>
      </c>
      <c r="E38" s="36" t="n">
        <v>1</v>
      </c>
      <c r="F38" s="36" t="inlineStr">
        <is>
          <t>LS</t>
        </is>
      </c>
      <c r="G38" s="36" t="inlineStr">
        <is>
          <t>Taper</t>
        </is>
      </c>
      <c r="H38" s="36" t="n">
        <v>70</v>
      </c>
      <c r="I38" s="38" t="n"/>
      <c r="J38" s="38" t="n">
        <v>280</v>
      </c>
      <c r="K38" s="36" t="n">
        <v>0</v>
      </c>
      <c r="L38" s="36" t="n"/>
      <c r="M38" s="36" t="inlineStr">
        <is>
          <t>Corridors</t>
        </is>
      </c>
      <c r="N38" s="36" t="n"/>
      <c r="O38" s="36" t="n"/>
      <c r="P38" s="37" t="n"/>
      <c r="Q38" s="33">
        <f>IF($E38="","",$E38*$H38)</f>
        <v>70</v>
      </c>
      <c r="R38" s="33">
        <f>IF($E38="","",IF($I38&lt;&gt;"",$I38,IF($G38="",Rates!$C$23,IFERROR(INDEX(Rates!$C$13:$C$22,MATCH($G38,Rates!$B$13:$B$22,0)),Rates!$C$23))))</f>
        <v>56</v>
      </c>
      <c r="S38" s="33">
        <f>IF($E38="","",ROUND($Q38*$R38,2))</f>
        <v>3920</v>
      </c>
      <c r="T38" s="33">
        <f>IF($E38="","",ROUND($E38*$J38*(1+$K38/100),2))</f>
        <v>280</v>
      </c>
      <c r="U38" s="33">
        <f>IF($E38="","",ROUND(IF($N38&lt;&gt;"",$E38*$N38,$Q38)*IF($L38="",0,IFERROR(INDEX(Rates!$C$27:$C$32,MATCH($L38,Rates!$B$27:$B$32,0)),0)),2))</f>
        <v>0</v>
      </c>
      <c r="V38" s="33">
        <f>IF($E38="","",ROUND($S38+$T38+$U38,2))</f>
        <v>4200</v>
      </c>
      <c r="W38" s="33">
        <f>IF($E38="","",IF($E38=0,0,ROUND($V38/$E38,2)))</f>
        <v>4200</v>
      </c>
      <c r="X38" s="34" t="str">
        <f>IF($E38="","",TRIM(IF(OR($I38&lt;&gt;"",$G38="",$Q38=0),"",IF(ISNA(MATCH($G38,Rates!$B$13:$B$22,0)),"Trade is not on your Rates list: priced at the standard rate. ",IF(INDEX(Rates!$C$13:$C$22,MATCH($G38,Rates!$B$13:$B$22,0))="","No rate typed yet for this trade. ","")))&amp;IF($L38="","",IF(ISNA(MATCH($L38,Rates!$B$27:$B$32,0)),"Equipment is not on your Rates list: no cost added. ",IF(INDEX(Rates!$C$27:$C$32,MATCH($L38,Rates!$B$27:$B$32,0))="","No rate typed yet for this equipment. ","")))))</f>
        <v/>
      </c>
    </row>
    <row r="39">
      <c r="B39" s="30" t="inlineStr">
        <is>
          <t>01 230</t>
        </is>
      </c>
      <c r="C39" s="22" t="inlineStr">
        <is>
          <t>General</t>
        </is>
      </c>
      <c r="D39" s="31" t="inlineStr">
        <is>
          <t>Distribute board and studs to floors</t>
        </is>
      </c>
      <c r="E39" s="22" t="n">
        <v>1</v>
      </c>
      <c r="F39" s="22" t="inlineStr">
        <is>
          <t>LS</t>
        </is>
      </c>
      <c r="G39" s="22" t="inlineStr">
        <is>
          <t>Laborer</t>
        </is>
      </c>
      <c r="H39" s="22" t="n">
        <v>110</v>
      </c>
      <c r="I39" s="32" t="n"/>
      <c r="J39" s="32" t="n">
        <v>0</v>
      </c>
      <c r="K39" s="22" t="n">
        <v>0</v>
      </c>
      <c r="L39" s="22" t="n"/>
      <c r="M39" s="22" t="inlineStr">
        <is>
          <t>Corridors</t>
        </is>
      </c>
      <c r="N39" s="22" t="n"/>
      <c r="O39" s="22" t="n"/>
      <c r="P39" s="31" t="n"/>
      <c r="Q39" s="33">
        <f>IF($E39="","",$E39*$H39)</f>
        <v>110</v>
      </c>
      <c r="R39" s="33">
        <f>IF($E39="","",IF($I39&lt;&gt;"",$I39,IF($G39="",Rates!$C$23,IFERROR(INDEX(Rates!$C$13:$C$22,MATCH($G39,Rates!$B$13:$B$22,0)),Rates!$C$23))))</f>
        <v>45</v>
      </c>
      <c r="S39" s="33">
        <f>IF($E39="","",ROUND($Q39*$R39,2))</f>
        <v>4950</v>
      </c>
      <c r="T39" s="33">
        <f>IF($E39="","",ROUND($E39*$J39*(1+$K39/100),2))</f>
        <v>0</v>
      </c>
      <c r="U39" s="33">
        <f>IF($E39="","",ROUND(IF($N39&lt;&gt;"",$E39*$N39,$Q39)*IF($L39="",0,IFERROR(INDEX(Rates!$C$27:$C$32,MATCH($L39,Rates!$B$27:$B$32,0)),0)),2))</f>
        <v>0</v>
      </c>
      <c r="V39" s="33">
        <f>IF($E39="","",ROUND($S39+$T39+$U39,2))</f>
        <v>4950</v>
      </c>
      <c r="W39" s="33">
        <f>IF($E39="","",IF($E39=0,0,ROUND($V39/$E39,2)))</f>
        <v>4950</v>
      </c>
      <c r="X39" s="34" t="str">
        <f>IF($E39="","",TRIM(IF(OR($I39&lt;&gt;"",$G39="",$Q39=0),"",IF(ISNA(MATCH($G39,Rates!$B$13:$B$22,0)),"Trade is not on your Rates list: priced at the standard rate. ",IF(INDEX(Rates!$C$13:$C$22,MATCH($G39,Rates!$B$13:$B$22,0))="","No rate typed yet for this trade. ","")))&amp;IF($L39="","",IF(ISNA(MATCH($L39,Rates!$B$27:$B$32,0)),"Equipment is not on your Rates list: no cost added. ",IF(INDEX(Rates!$C$27:$C$32,MATCH($L39,Rates!$B$27:$B$32,0))="","No rate typed yet for this equipment. ","")))))</f>
        <v/>
      </c>
    </row>
    <row r="40">
      <c r="B40" s="35" t="inlineStr">
        <is>
          <t>09 610</t>
        </is>
      </c>
      <c r="C40" s="36" t="inlineStr">
        <is>
          <t>General</t>
        </is>
      </c>
      <c r="D40" s="37" t="inlineStr">
        <is>
          <t>Daily clean-up, scrap to dumpster</t>
        </is>
      </c>
      <c r="E40" s="36" t="n">
        <v>35500</v>
      </c>
      <c r="F40" s="36" t="inlineStr">
        <is>
          <t>SF</t>
        </is>
      </c>
      <c r="G40" s="36" t="inlineStr">
        <is>
          <t>Laborer</t>
        </is>
      </c>
      <c r="H40" s="36" t="n">
        <v>0.00465</v>
      </c>
      <c r="I40" s="38" t="n"/>
      <c r="J40" s="38" t="n">
        <v>0</v>
      </c>
      <c r="K40" s="36" t="n">
        <v>0</v>
      </c>
      <c r="L40" s="36" t="n"/>
      <c r="M40" s="36" t="inlineStr">
        <is>
          <t>Open office</t>
        </is>
      </c>
      <c r="N40" s="36" t="n"/>
      <c r="O40" s="36" t="n"/>
      <c r="P40" s="37" t="n"/>
      <c r="Q40" s="33">
        <f>IF($E40="","",$E40*$H40)</f>
        <v>165.075</v>
      </c>
      <c r="R40" s="33">
        <f>IF($E40="","",IF($I40&lt;&gt;"",$I40,IF($G40="",Rates!$C$23,IFERROR(INDEX(Rates!$C$13:$C$22,MATCH($G40,Rates!$B$13:$B$22,0)),Rates!$C$23))))</f>
        <v>45</v>
      </c>
      <c r="S40" s="33">
        <f>IF($E40="","",ROUND($Q40*$R40,2))</f>
        <v>7428.38</v>
      </c>
      <c r="T40" s="33">
        <f>IF($E40="","",ROUND($E40*$J40*(1+$K40/100),2))</f>
        <v>0</v>
      </c>
      <c r="U40" s="33">
        <f>IF($E40="","",ROUND(IF($N40&lt;&gt;"",$E40*$N40,$Q40)*IF($L40="",0,IFERROR(INDEX(Rates!$C$27:$C$32,MATCH($L40,Rates!$B$27:$B$32,0)),0)),2))</f>
        <v>0</v>
      </c>
      <c r="V40" s="33">
        <f>IF($E40="","",ROUND($S40+$T40+$U40,2))</f>
        <v>7428.38</v>
      </c>
      <c r="W40" s="33">
        <f>IF($E40="","",IF($E40=0,0,ROUND($V40/$E40,2)))</f>
        <v>0.21</v>
      </c>
      <c r="X40" s="34" t="str">
        <f>IF($E40="","",TRIM(IF(OR($I40&lt;&gt;"",$G40="",$Q40=0),"",IF(ISNA(MATCH($G40,Rates!$B$13:$B$22,0)),"Trade is not on your Rates list: priced at the standard rate. ",IF(INDEX(Rates!$C$13:$C$22,MATCH($G40,Rates!$B$13:$B$22,0))="","No rate typed yet for this trade. ","")))&amp;IF($L40="","",IF(ISNA(MATCH($L40,Rates!$B$27:$B$32,0)),"Equipment is not on your Rates list: no cost added. ",IF(INDEX(Rates!$C$27:$C$32,MATCH($L40,Rates!$B$27:$B$32,0))="","No rate typed yet for this equipment.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","")))&amp;IF($L41="","",IF(ISNA(MATCH($L41,Rates!$B$27:$B$32,0)),"Equipment is not on your Rates list: no cost added. ",IF(INDEX(Rates!$C$27:$C$32,MATCH($L41,Rates!$B$27:$B$32,0))="","No rate typed yet for this equipment.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","")))&amp;IF($L42="","",IF(ISNA(MATCH($L42,Rates!$B$27:$B$32,0)),"Equipment is not on your Rates list: no cost added. ",IF(INDEX(Rates!$C$27:$C$32,MATCH($L42,Rates!$B$27:$B$32,0))="","No rate typed yet for this equipment.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","")))&amp;IF($L43="","",IF(ISNA(MATCH($L43,Rates!$B$27:$B$32,0)),"Equipment is not on your Rates list: no cost added. ",IF(INDEX(Rates!$C$27:$C$32,MATCH($L43,Rates!$B$27:$B$32,0))="","No rate typed yet for this equipment.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","")))&amp;IF($L44="","",IF(ISNA(MATCH($L44,Rates!$B$27:$B$32,0)),"Equipment is not on your Rates list: no cost added. ",IF(INDEX(Rates!$C$27:$C$32,MATCH($L44,Rates!$B$27:$B$32,0))="","No rate typed yet for this equipment.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","")))&amp;IF($L45="","",IF(ISNA(MATCH($L45,Rates!$B$27:$B$32,0)),"Equipment is not on your Rates list: no cost added. ",IF(INDEX(Rates!$C$27:$C$32,MATCH($L45,Rates!$B$27:$B$32,0))="","No rate typed yet for this equipment.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","")))&amp;IF($L46="","",IF(ISNA(MATCH($L46,Rates!$B$27:$B$32,0)),"Equipment is not on your Rates list: no cost added. ",IF(INDEX(Rates!$C$27:$C$32,MATCH($L46,Rates!$B$27:$B$32,0))="","No rate typed yet for this equipment.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","")))&amp;IF($L47="","",IF(ISNA(MATCH($L47,Rates!$B$27:$B$32,0)),"Equipment is not on your Rates list: no cost added. ",IF(INDEX(Rates!$C$27:$C$32,MATCH($L47,Rates!$B$27:$B$32,0))="","No rate typed yet for this equipment.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","")))&amp;IF($L48="","",IF(ISNA(MATCH($L48,Rates!$B$27:$B$32,0)),"Equipment is not on your Rates list: no cost added. ",IF(INDEX(Rates!$C$27:$C$32,MATCH($L48,Rates!$B$27:$B$32,0))="","No rate typed yet for this equipment.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","")))&amp;IF($L49="","",IF(ISNA(MATCH($L49,Rates!$B$27:$B$32,0)),"Equipment is not on your Rates list: no cost added. ",IF(INDEX(Rates!$C$27:$C$32,MATCH($L49,Rates!$B$27:$B$32,0))="","No rate typed yet for this equipment.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","")))&amp;IF($L50="","",IF(ISNA(MATCH($L50,Rates!$B$27:$B$32,0)),"Equipment is not on your Rates list: no cost added. ",IF(INDEX(Rates!$C$27:$C$32,MATCH($L50,Rates!$B$27:$B$32,0))="","No rate typed yet for this equipment.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","")))&amp;IF($L51="","",IF(ISNA(MATCH($L51,Rates!$B$27:$B$32,0)),"Equipment is not on your Rates list: no cost added. ",IF(INDEX(Rates!$C$27:$C$32,MATCH($L51,Rates!$B$27:$B$32,0))="","No rate typed yet for this equipment.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","")))&amp;IF($L52="","",IF(ISNA(MATCH($L52,Rates!$B$27:$B$32,0)),"Equipment is not on your Rates list: no cost added. ",IF(INDEX(Rates!$C$27:$C$32,MATCH($L52,Rates!$B$27:$B$32,0))="","No rate typed yet for this equipment.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","")))&amp;IF($L53="","",IF(ISNA(MATCH($L53,Rates!$B$27:$B$32,0)),"Equipment is not on your Rates list: no cost added. ",IF(INDEX(Rates!$C$27:$C$32,MATCH($L53,Rates!$B$27:$B$32,0))="","No rate typed yet for this equipment.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","")))&amp;IF($L54="","",IF(ISNA(MATCH($L54,Rates!$B$27:$B$32,0)),"Equipment is not on your Rates list: no cost added. ",IF(INDEX(Rates!$C$27:$C$32,MATCH($L54,Rates!$B$27:$B$32,0))="","No rate typed yet for this equipment.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","")))&amp;IF($L55="","",IF(ISNA(MATCH($L55,Rates!$B$27:$B$32,0)),"Equipment is not on your Rates list: no cost added. ",IF(INDEX(Rates!$C$27:$C$32,MATCH($L55,Rates!$B$27:$B$32,0))="","No rate typed yet for this equipment.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","")))&amp;IF($L56="","",IF(ISNA(MATCH($L56,Rates!$B$27:$B$32,0)),"Equipment is not on your Rates list: no cost added. ",IF(INDEX(Rates!$C$27:$C$32,MATCH($L56,Rates!$B$27:$B$32,0))="","No rate typed yet for this equipment.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","")))&amp;IF($L57="","",IF(ISNA(MATCH($L57,Rates!$B$27:$B$32,0)),"Equipment is not on your Rates list: no cost added. ",IF(INDEX(Rates!$C$27:$C$32,MATCH($L57,Rates!$B$27:$B$32,0))="","No rate typed yet for this equipment.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","")))&amp;IF($L58="","",IF(ISNA(MATCH($L58,Rates!$B$27:$B$32,0)),"Equipment is not on your Rates list: no cost added. ",IF(INDEX(Rates!$C$27:$C$32,MATCH($L58,Rates!$B$27:$B$32,0))="","No rate typed yet for this equipment.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","")))&amp;IF($L59="","",IF(ISNA(MATCH($L59,Rates!$B$27:$B$32,0)),"Equipment is not on your Rates list: no cost added. ",IF(INDEX(Rates!$C$27:$C$32,MATCH($L59,Rates!$B$27:$B$32,0))="","No rate typed yet for this equipment.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","")))&amp;IF($L60="","",IF(ISNA(MATCH($L60,Rates!$B$27:$B$32,0)),"Equipment is not on your Rates list: no cost added. ",IF(INDEX(Rates!$C$27:$C$32,MATCH($L60,Rates!$B$27:$B$32,0))="","No rate typed yet for this equipment.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","")))&amp;IF($L61="","",IF(ISNA(MATCH($L61,Rates!$B$27:$B$32,0)),"Equipment is not on your Rates list: no cost added. ",IF(INDEX(Rates!$C$27:$C$32,MATCH($L61,Rates!$B$27:$B$32,0))="","No rate typed yet for this equipment.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","")))&amp;IF($L62="","",IF(ISNA(MATCH($L62,Rates!$B$27:$B$32,0)),"Equipment is not on your Rates list: no cost added. ",IF(INDEX(Rates!$C$27:$C$32,MATCH($L62,Rates!$B$27:$B$32,0))="","No rate typed yet for this equipment.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","")))&amp;IF($L63="","",IF(ISNA(MATCH($L63,Rates!$B$27:$B$32,0)),"Equipment is not on your Rates list: no cost added. ",IF(INDEX(Rates!$C$27:$C$32,MATCH($L63,Rates!$B$27:$B$32,0))="","No rate typed yet for this equipment.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","")))&amp;IF($L64="","",IF(ISNA(MATCH($L64,Rates!$B$27:$B$32,0)),"Equipment is not on your Rates list: no cost added. ",IF(INDEX(Rates!$C$27:$C$32,MATCH($L64,Rates!$B$27:$B$32,0))="","No rate typed yet for this equipment.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","")))&amp;IF($L65="","",IF(ISNA(MATCH($L65,Rates!$B$27:$B$32,0)),"Equipment is not on your Rates list: no cost added. ",IF(INDEX(Rates!$C$27:$C$32,MATCH($L65,Rates!$B$27:$B$32,0))="","No rate typed yet for this equipment.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","")))&amp;IF($L66="","",IF(ISNA(MATCH($L66,Rates!$B$27:$B$32,0)),"Equipment is not on your Rates list: no cost added. ",IF(INDEX(Rates!$C$27:$C$32,MATCH($L66,Rates!$B$27:$B$32,0))="","No rate typed yet for this equipment. ","")))))</f>
        <v/>
      </c>
    </row>
    <row r="67"/>
    <row r="68" ht="20" customHeight="1">
      <c r="M68" s="39" t="inlineStr">
        <is>
          <t>Totals, lines counted</t>
        </is>
      </c>
      <c r="Q68" s="40">
        <f>SUMIF($O$7:$O$66,"&lt;&gt;Yes",$Q$7:$Q$66)</f>
        <v>3469.9655000000002</v>
      </c>
      <c r="S68" s="41">
        <f>ROUND(SUMIF($O$7:$O$66,"&lt;&gt;Yes",$S$7:$S$66),2)</f>
        <v>195788.23</v>
      </c>
      <c r="T68" s="41">
        <f>ROUND(SUMIF($O$7:$O$66,"&lt;&gt;Yes",$T$7:$T$66),2)</f>
        <v>192709.02</v>
      </c>
      <c r="U68" s="41">
        <f>ROUND(SUMIF($O$7:$O$66,"&lt;&gt;Yes",$U$7:$U$66),2)</f>
        <v>7457.66</v>
      </c>
      <c r="V68" s="41">
        <f>ROUND(SUMIF($O$7:$O$66,"&lt;&gt;Yes",$V$7:$V$66),2)</f>
        <v>395954.91</v>
      </c>
    </row>
    <row r="69">
      <c r="M69" s="42" t="inlineStr">
        <is>
          <t>Total of lines left out (Excluded = Yes)</t>
        </is>
      </c>
      <c r="V69" s="43">
        <f>ROUND(SUMIF($O$7:$O$66,"Yes",$V$7:$V$66),2)</f>
        <v>1382.58</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Equipme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Subcontractors</t>
        </is>
      </c>
    </row>
    <row r="3" ht="50" customHeight="1">
      <c r="B3" s="14" t="inlineStr">
        <is>
          <t>One row for each package of work you let to a subcontractor.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bid?</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bid</t>
        </is>
      </c>
    </row>
    <row r="7">
      <c r="B7" s="22" t="inlineStr">
        <is>
          <t>09 310</t>
        </is>
      </c>
      <c r="C7" s="22" t="inlineStr">
        <is>
          <t>Acoustical insulation in partitions</t>
        </is>
      </c>
      <c r="D7" s="22" t="inlineStr">
        <is>
          <t>Yes</t>
        </is>
      </c>
      <c r="E7" s="46" t="inlineStr">
        <is>
          <t>Bidder A</t>
        </is>
      </c>
      <c r="F7" s="23" t="n">
        <v>17120</v>
      </c>
      <c r="G7" s="46" t="inlineStr">
        <is>
          <t>Bidder B</t>
        </is>
      </c>
      <c r="H7" s="23" t="n">
        <v>18120</v>
      </c>
      <c r="I7" s="46" t="inlineStr">
        <is>
          <t>Bidder C</t>
        </is>
      </c>
      <c r="J7" s="23" t="n"/>
      <c r="K7" s="46" t="n"/>
      <c r="L7" s="23" t="n"/>
      <c r="M7" s="46" t="n"/>
      <c r="N7" s="23" t="n"/>
      <c r="O7" s="22" t="inlineStr">
        <is>
          <t>Bidder A: Mineral wool, full height. Bidder C: Declined</t>
        </is>
      </c>
      <c r="P7" s="33">
        <f>IF(OR($C7="",((N($F7)&gt;0)+(N($H7)&gt;0)+(N($J7)&gt;0)+(N($L7)&gt;0))=0),"",MIN(IF(N($F7)&gt;0,$F7,1E+99),IF(N($H7)&gt;0,$H7,1E+99),IF(N($J7)&gt;0,$J7,1E+99),IF(N($L7)&gt;0,$L7,1E+99)))</f>
        <v>17120</v>
      </c>
      <c r="Q7" s="47">
        <f>IF(OR($C7="",$P7=""),"",IF(IF(ISNUMBER($M7),IF(AND($M7&gt;=1,$M7&lt;=4,$M7=INT($M7)),N(CHOOSE($M7,$F7,$H7,$J7,$L7))&gt;0,FALSE),FALSE),$M7,IF(N($F7)=$P7,1,IF(N($H7)=$P7,2,IF(N($J7)=$P7,3,4)))))</f>
        <v>1</v>
      </c>
      <c r="R7" s="48" t="str">
        <f>IF($C7="","",IF($Q7="","Allowance",IF(CHOOSE($Q7,$E7,$G7,$I7,$K7)="","Quote "&amp;$Q7,CHOOSE($Q7,$E7,$G7,$I7,$K7))))</f>
        <v>Bidder A</v>
      </c>
      <c r="S7" s="33">
        <f>IF($C7="","",IF($Q7="",N($N7),CHOOSE($Q7,$F7,$H7,$J7,$L7)))</f>
        <v>17120</v>
      </c>
      <c r="T7" s="33">
        <f>IF($C7="","",IF($D7="No",0,$S7))</f>
        <v>17120</v>
      </c>
    </row>
    <row r="8">
      <c r="B8" s="36" t="inlineStr">
        <is>
          <t>09 320</t>
        </is>
      </c>
      <c r="C8" s="36" t="inlineStr">
        <is>
          <t>Firestopping at penetrations and joints</t>
        </is>
      </c>
      <c r="D8" s="36" t="inlineStr">
        <is>
          <t>Yes</t>
        </is>
      </c>
      <c r="E8" s="49" t="inlineStr">
        <is>
          <t>Bidder A</t>
        </is>
      </c>
      <c r="F8" s="50" t="n">
        <v>10080</v>
      </c>
      <c r="G8" s="49" t="inlineStr">
        <is>
          <t>Bidder B</t>
        </is>
      </c>
      <c r="H8" s="50" t="n">
        <v>9520</v>
      </c>
      <c r="I8" s="49" t="n"/>
      <c r="J8" s="50" t="n"/>
      <c r="K8" s="49" t="n"/>
      <c r="L8" s="50" t="n"/>
      <c r="M8" s="49" t="n">
        <v>1</v>
      </c>
      <c r="N8" s="50" t="n"/>
      <c r="O8" s="36" t="inlineStr">
        <is>
          <t>Bidder A: Incl. head-of-wall joints. Bidder B: Penetrations only, head joints extra</t>
        </is>
      </c>
      <c r="P8" s="33">
        <f>IF(OR($C8="",((N($F8)&gt;0)+(N($H8)&gt;0)+(N($J8)&gt;0)+(N($L8)&gt;0))=0),"",MIN(IF(N($F8)&gt;0,$F8,1E+99),IF(N($H8)&gt;0,$H8,1E+99),IF(N($J8)&gt;0,$J8,1E+99),IF(N($L8)&gt;0,$L8,1E+99)))</f>
        <v>9520</v>
      </c>
      <c r="Q8" s="47">
        <f>IF(OR($C8="",$P8=""),"",IF(IF(ISNUMBER($M8),IF(AND($M8&gt;=1,$M8&lt;=4,$M8=INT($M8)),N(CHOOSE($M8,$F8,$H8,$J8,$L8))&gt;0,FALSE),FALSE),$M8,IF(N($F8)=$P8,1,IF(N($H8)=$P8,2,IF(N($J8)=$P8,3,4)))))</f>
        <v>1</v>
      </c>
      <c r="R8" s="48" t="str">
        <f>IF($C8="","",IF($Q8="","Allowance",IF(CHOOSE($Q8,$E8,$G8,$I8,$K8)="","Quote "&amp;$Q8,CHOOSE($Q8,$E8,$G8,$I8,$K8))))</f>
        <v>Bidder A</v>
      </c>
      <c r="S8" s="33">
        <f>IF($C8="","",IF($Q8="",N($N8),CHOOSE($Q8,$F8,$H8,$J8,$L8)))</f>
        <v>10080</v>
      </c>
      <c r="T8" s="33">
        <f>IF($C8="","",IF($D8="No",0,$S8))</f>
        <v>10080</v>
      </c>
    </row>
    <row r="9">
      <c r="B9" s="22" t="inlineStr">
        <is>
          <t>01 220</t>
        </is>
      </c>
      <c r="C9" s="22" t="inlineStr">
        <is>
          <t>Stairwell scaffold, allowance</t>
        </is>
      </c>
      <c r="D9" s="22" t="inlineStr">
        <is>
          <t>Yes</t>
        </is>
      </c>
      <c r="E9" s="46" t="n"/>
      <c r="F9" s="23" t="n"/>
      <c r="G9" s="46" t="n"/>
      <c r="H9" s="23" t="n"/>
      <c r="I9" s="46" t="n"/>
      <c r="J9" s="23" t="n"/>
      <c r="K9" s="46" t="n"/>
      <c r="L9" s="23" t="n"/>
      <c r="M9" s="46" t="n"/>
      <c r="N9" s="23" t="n">
        <v>3600</v>
      </c>
      <c r="O9" s="22" t="n"/>
      <c r="P9" s="33" t="str">
        <f>IF(OR($C9="",((N($F9)&gt;0)+(N($H9)&gt;0)+(N($J9)&gt;0)+(N($L9)&gt;0))=0),"",MIN(IF(N($F9)&gt;0,$F9,1E+99),IF(N($H9)&gt;0,$H9,1E+99),IF(N($J9)&gt;0,$J9,1E+99),IF(N($L9)&gt;0,$L9,1E+99)))</f>
        <v/>
      </c>
      <c r="Q9" s="47" t="str">
        <f>IF(OR($C9="",$P9=""),"",IF(IF(ISNUMBER($M9),IF(AND($M9&gt;=1,$M9&lt;=4,$M9=INT($M9)),N(CHOOSE($M9,$F9,$H9,$J9,$L9))&gt;0,FALSE),FALSE),$M9,IF(N($F9)=$P9,1,IF(N($H9)=$P9,2,IF(N($J9)=$P9,3,4)))))</f>
        <v/>
      </c>
      <c r="R9" s="48" t="str">
        <f>IF($C9="","",IF($Q9="","Allowance",IF(CHOOSE($Q9,$E9,$G9,$I9,$K9)="","Quote "&amp;$Q9,CHOOSE($Q9,$E9,$G9,$I9,$K9))))</f>
        <v>Allowance</v>
      </c>
      <c r="S9" s="33">
        <f>IF($C9="","",IF($Q9="",N($N9),CHOOSE($Q9,$F9,$H9,$J9,$L9)))</f>
        <v>3600</v>
      </c>
      <c r="T9" s="33">
        <f>IF($C9="","",IF($D9="No",0,$S9))</f>
        <v>3600</v>
      </c>
    </row>
    <row r="10">
      <c r="B10" s="36" t="n"/>
      <c r="C10" s="36" t="n"/>
      <c r="D10" s="36" t="n"/>
      <c r="E10" s="49" t="n"/>
      <c r="F10" s="50" t="n"/>
      <c r="G10" s="49" t="n"/>
      <c r="H10" s="50" t="n"/>
      <c r="I10" s="49" t="n"/>
      <c r="J10" s="50" t="n"/>
      <c r="K10" s="49" t="n"/>
      <c r="L10" s="50" t="n"/>
      <c r="M10" s="49" t="n"/>
      <c r="N10" s="50" t="n"/>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
      </c>
      <c r="S10" s="33" t="str">
        <f>IF($C10="","",IF($Q10="",N($N10),CHOOSE($Q10,$F10,$H10,$J10,$L10)))</f>
        <v/>
      </c>
      <c r="T10" s="33" t="str">
        <f>IF($C10="","",IF($D10="No",0,$S10))</f>
        <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bid</t>
        </is>
      </c>
      <c r="T16" s="41">
        <f>ROUND(SUM(T7:T14),2)</f>
        <v>30800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General conditions</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inlineStr">
        <is>
          <t>01 100</t>
        </is>
      </c>
      <c r="C7" s="22" t="inlineStr">
        <is>
          <t>Supervision, part-time foreman</t>
        </is>
      </c>
      <c r="D7" s="22" t="inlineStr">
        <is>
          <t>wk</t>
        </is>
      </c>
      <c r="E7" s="22" t="inlineStr">
        <is>
          <t>Yes</t>
        </is>
      </c>
      <c r="F7" s="22" t="n"/>
      <c r="G7" s="23" t="n">
        <v>1100</v>
      </c>
      <c r="H7" s="52">
        <f>IF($C7="","",IF(AND($E7="Yes",$D7="wk"),Rates!$C$9,IF(AND($E7="Yes",$D7="mo"),Rates!$C$9/(52/12),N($F7))))</f>
        <v>12</v>
      </c>
      <c r="I7" s="33">
        <f>IF($C7="","",ROUND($H7*N($G7),2))</f>
        <v>13200</v>
      </c>
    </row>
    <row r="8" ht="16.5" customHeight="1">
      <c r="B8" s="36" t="inlineStr">
        <is>
          <t>01 100</t>
        </is>
      </c>
      <c r="C8" s="36" t="inlineStr">
        <is>
          <t>Project manager, part time</t>
        </is>
      </c>
      <c r="D8" s="36" t="inlineStr">
        <is>
          <t>mo</t>
        </is>
      </c>
      <c r="E8" s="36" t="inlineStr">
        <is>
          <t>Yes</t>
        </is>
      </c>
      <c r="F8" s="36" t="n"/>
      <c r="G8" s="50" t="n">
        <v>1920</v>
      </c>
      <c r="H8" s="52">
        <f>IF($C8="","",IF(AND($E8="Yes",$D8="wk"),Rates!$C$9,IF(AND($E8="Yes",$D8="mo"),Rates!$C$9/(52/12),N($F8))))</f>
        <v>2.7692307692307696</v>
      </c>
      <c r="I8" s="33">
        <f>IF($C8="","",ROUND($H8*N($G8),2))</f>
        <v>5316.92</v>
      </c>
    </row>
    <row r="9" ht="16.5" customHeight="1">
      <c r="B9" s="22" t="inlineStr">
        <is>
          <t>01 290</t>
        </is>
      </c>
      <c r="C9" s="22" t="inlineStr">
        <is>
          <t>Small tools, screw guns and stilts</t>
        </is>
      </c>
      <c r="D9" s="22" t="inlineStr">
        <is>
          <t>wk</t>
        </is>
      </c>
      <c r="E9" s="22" t="inlineStr">
        <is>
          <t>Yes</t>
        </is>
      </c>
      <c r="F9" s="22" t="n"/>
      <c r="G9" s="23" t="n">
        <v>152</v>
      </c>
      <c r="H9" s="52">
        <f>IF($C9="","",IF(AND($E9="Yes",$D9="wk"),Rates!$C$9,IF(AND($E9="Yes",$D9="mo"),Rates!$C$9/(52/12),N($F9))))</f>
        <v>12</v>
      </c>
      <c r="I9" s="33">
        <f>IF($C9="","",ROUND($H9*N($G9),2))</f>
        <v>1824</v>
      </c>
    </row>
    <row r="10" ht="16.5" customHeight="1">
      <c r="B10" s="36" t="inlineStr">
        <is>
          <t>01 230</t>
        </is>
      </c>
      <c r="C10" s="36" t="inlineStr">
        <is>
          <t>Board delivery and boom truck stocking</t>
        </is>
      </c>
      <c r="D10" s="36" t="inlineStr">
        <is>
          <t>LS</t>
        </is>
      </c>
      <c r="E10" s="36" t="n"/>
      <c r="F10" s="36" t="n">
        <v>1</v>
      </c>
      <c r="G10" s="50" t="n">
        <v>2720</v>
      </c>
      <c r="H10" s="52">
        <f>IF($C10="","",IF(AND($E10="Yes",$D10="wk"),Rates!$C$9,IF(AND($E10="Yes",$D10="mo"),Rates!$C$9/(52/12),N($F10))))</f>
        <v>1</v>
      </c>
      <c r="I10" s="33">
        <f>IF($C10="","",ROUND($H10*N($G10),2))</f>
        <v>2720</v>
      </c>
    </row>
    <row r="11" ht="16.5" customHeight="1">
      <c r="B11" s="22" t="inlineStr">
        <is>
          <t>01 240</t>
        </is>
      </c>
      <c r="C11" s="22" t="inlineStr">
        <is>
          <t>Dumpster swaps</t>
        </is>
      </c>
      <c r="D11" s="22" t="inlineStr">
        <is>
          <t>ea</t>
        </is>
      </c>
      <c r="E11" s="22" t="n"/>
      <c r="F11" s="22" t="n">
        <v>6</v>
      </c>
      <c r="G11" s="23" t="n">
        <v>525</v>
      </c>
      <c r="H11" s="52">
        <f>IF($C11="","",IF(AND($E11="Yes",$D11="wk"),Rates!$C$9,IF(AND($E11="Yes",$D11="mo"),Rates!$C$9/(52/12),N($F11))))</f>
        <v>6</v>
      </c>
      <c r="I11" s="33">
        <f>IF($C11="","",ROUND($H11*N($G11),2))</f>
        <v>3150</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26210.92</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Bid summary</t>
        </is>
      </c>
    </row>
    <row r="3" ht="36" customHeight="1">
      <c r="B3" s="14" t="inlineStr">
        <is>
          <t>Your bid, worked out in the order the calculations run. Each amount is rounded to the cent where it is worked out, so the column adds up exactly. Nothing on this tab is typed: change the other tabs and it follows.</t>
        </is>
      </c>
    </row>
    <row r="4" ht="6" customHeight="1"/>
    <row r="5">
      <c r="B5" s="24" t="inlineStr">
        <is>
          <t>Job</t>
        </is>
      </c>
      <c r="C5" s="24" t="str">
        <f>IF(Rates!$C$6="","",Rates!$C$6)</f>
        <v>Office build-out, drywall and ceilings (example)</v>
      </c>
    </row>
    <row r="6">
      <c r="B6" s="53" t="inlineStr">
        <is>
          <t>Location | Bid due | Length</t>
        </is>
      </c>
      <c r="C6" s="53" t="str">
        <f>IF(Rates!$C$7="","",Rates!$C$7)&amp;IF(Rates!$C$8="",""," | "&amp;TEXT(Rates!$C$8,"mm/dd/yyyy"))&amp;IF(Rates!$C$9="",""," | "&amp;Rates!$C$9&amp;" weeks")</f>
        <v>Denver, CO | 12/11/2026 | 12 weeks</v>
      </c>
    </row>
    <row r="7"/>
    <row r="8" ht="18" customHeight="1">
      <c r="B8" s="20" t="inlineStr">
        <is>
          <t>Item</t>
        </is>
      </c>
      <c r="C8" s="21" t="inlineStr">
        <is>
          <t>Amount</t>
        </is>
      </c>
      <c r="D8" s="20" t="inlineStr">
        <is>
          <t>How it is worked out</t>
        </is>
      </c>
    </row>
    <row r="9" ht="18" customHeight="1">
      <c r="B9" s="24" t="inlineStr">
        <is>
          <t>Own work</t>
        </is>
      </c>
      <c r="C9" s="54">
        <f>Estimate!$V$68</f>
        <v>395954.91</v>
      </c>
      <c r="D9" s="55" t="inlineStr">
        <is>
          <t>The lines on the Estimate tab, apart from any marked Excluded.</t>
        </is>
      </c>
    </row>
    <row r="10" ht="18" customHeight="1">
      <c r="B10" s="56" t="inlineStr">
        <is>
          <t>Labor</t>
        </is>
      </c>
      <c r="C10" s="43">
        <f>Estimate!$S$68</f>
        <v>195788.23</v>
      </c>
      <c r="D10" s="55" t="inlineStr"/>
    </row>
    <row r="11" ht="18" customHeight="1">
      <c r="B11" s="56" t="inlineStr">
        <is>
          <t>Materials</t>
        </is>
      </c>
      <c r="C11" s="43">
        <f>Estimate!$T$68</f>
        <v>192709.02</v>
      </c>
      <c r="D11" s="55" t="inlineStr"/>
    </row>
    <row r="12" ht="18" customHeight="1">
      <c r="B12" s="56" t="inlineStr">
        <is>
          <t>Equipment</t>
        </is>
      </c>
      <c r="C12" s="43">
        <f>Estimate!$U$68</f>
        <v>7457.66</v>
      </c>
      <c r="D12" s="55" t="inlineStr"/>
    </row>
    <row r="13" ht="18" customHeight="1">
      <c r="B13" s="15" t="inlineStr">
        <is>
          <t>Subcontractors</t>
        </is>
      </c>
      <c r="C13" s="57">
        <f>Subcontractors!$T$16</f>
        <v>30800</v>
      </c>
      <c r="D13" s="55" t="inlineStr">
        <is>
          <t>The quote carried for each package, or its allowance.</t>
        </is>
      </c>
    </row>
    <row r="14" ht="18" customHeight="1">
      <c r="B14" s="15" t="inlineStr">
        <is>
          <t>General conditions</t>
        </is>
      </c>
      <c r="C14" s="57">
        <f>'General conditions'!$I$20</f>
        <v>26210.92</v>
      </c>
      <c r="D14" s="55" t="inlineStr">
        <is>
          <t>From the General conditions tab.</t>
        </is>
      </c>
    </row>
    <row r="15" ht="18" customHeight="1">
      <c r="B15" s="24" t="inlineStr">
        <is>
          <t>Direct cost</t>
        </is>
      </c>
      <c r="C15" s="54">
        <f>ROUND(C9+C13+C14,2)</f>
        <v>452965.83</v>
      </c>
      <c r="D15" s="55" t="inlineStr">
        <is>
          <t>Own work + subcontractors + general conditions</t>
        </is>
      </c>
    </row>
    <row r="16" ht="18" customHeight="1">
      <c r="B16" s="15" t="inlineStr">
        <is>
          <t>Contingency</t>
        </is>
      </c>
      <c r="C16" s="57">
        <f>ROUND(C15*Rates!$C$35/100,2)</f>
        <v>13588.97</v>
      </c>
      <c r="D16" s="55" t="str">
        <f>Rates!$C$35&amp;"% of direct cost"</f>
        <v>3% of direct cost</v>
      </c>
    </row>
    <row r="17" ht="18" customHeight="1">
      <c r="B17" s="15" t="inlineStr">
        <is>
          <t>Fee</t>
        </is>
      </c>
      <c r="C17" s="57">
        <f>ROUND(ROUND(C15+C16,2)*Rates!$C$36/100,2)</f>
        <v>46655.48</v>
      </c>
      <c r="D17" s="55" t="str">
        <f>Rates!$C$36&amp;"% of direct cost plus contingency"</f>
        <v>10% of direct cost plus contingency</v>
      </c>
    </row>
    <row r="18" ht="18" customHeight="1">
      <c r="B18" s="24" t="inlineStr">
        <is>
          <t>Subtotal before the bond</t>
        </is>
      </c>
      <c r="C18" s="54">
        <f>ROUND(C15+C16+C17,2)</f>
        <v>513210.28</v>
      </c>
      <c r="D18" s="55" t="inlineStr">
        <is>
          <t>Direct cost + contingency + fee.</t>
        </is>
      </c>
    </row>
    <row r="19" ht="18" customHeight="1">
      <c r="B19" s="15" t="inlineStr">
        <is>
          <t>Bond</t>
        </is>
      </c>
      <c r="C19" s="57">
        <f>ROUND(C18*Rates!$C$37/100,2)</f>
        <v>5132.1</v>
      </c>
      <c r="D19" s="55" t="str">
        <f>Rates!$C$37&amp;"% of the subtotal"</f>
        <v>1% of the subtotal</v>
      </c>
    </row>
    <row r="20" ht="18" customHeight="1">
      <c r="B20" s="15" t="inlineStr">
        <is>
          <t>Insurance</t>
        </is>
      </c>
      <c r="C20" s="57">
        <f>ROUND(C18*Rates!$C$38/100,2)</f>
        <v>2566.05</v>
      </c>
      <c r="D20" s="55" t="str">
        <f>Rates!$C$38&amp;"% of the subtotal"</f>
        <v>0.5% of the subtotal</v>
      </c>
    </row>
    <row r="21" ht="18" customHeight="1">
      <c r="B21" s="58" t="inlineStr">
        <is>
          <t>Bid total</t>
        </is>
      </c>
      <c r="C21" s="59">
        <f>ROUND(C18+C19+C20,2)</f>
        <v>520908.43</v>
      </c>
      <c r="D21" s="60" t="inlineStr">
        <is>
          <t>The price you submit.</t>
        </is>
      </c>
    </row>
    <row r="22" ht="18" customHeight="1">
      <c r="B22" s="53" t="inlineStr">
        <is>
          <t>Sales tax, for reference</t>
        </is>
      </c>
      <c r="C22" s="43">
        <f>ROUND(C21*Rates!$C$39/100,2)</f>
        <v>0</v>
      </c>
      <c r="D22" s="55" t="str">
        <f>Rates!$C$39&amp;"%, shown separately and not part of the bid total"&amp;". Set your rate on the Rates tab."</f>
        <v>0%, shown separately and not part of the bid total. Set your rate on the Rates tab.</v>
      </c>
    </row>
    <row r="23" ht="18" customHeight="1">
      <c r="B23" s="53" t="inlineStr">
        <is>
          <t>Bid total including sales tax</t>
        </is>
      </c>
      <c r="C23" s="43">
        <f>ROUND(C21+C22,2)</f>
        <v>520908.43</v>
      </c>
      <c r="D23" s="55" t="inlineStr">
        <is>
          <t>For reference.</t>
        </is>
      </c>
    </row>
    <row r="24"/>
    <row r="25">
      <c r="B25" s="53" t="inlineStr">
        <is>
          <t>Left out of the bid (Excluded lines)</t>
        </is>
      </c>
      <c r="C25" s="43">
        <f>Estimate!$V$69</f>
        <v>1382.58</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bid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bidfident.com/us</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Quote</t>
        </is>
      </c>
      <c r="C2" s="63" t="n"/>
      <c r="D2" s="64" t="n"/>
    </row>
    <row r="3">
      <c r="B3" s="14" t="inlineStr">
        <is>
          <t>Date</t>
        </is>
      </c>
      <c r="C3" s="65" t="n">
        <v>46367</v>
      </c>
      <c r="D3" s="64" t="n"/>
    </row>
    <row r="4">
      <c r="B4" s="14" t="inlineStr">
        <is>
          <t>Valid for (days)</t>
        </is>
      </c>
      <c r="C4" s="66" t="n">
        <v>30</v>
      </c>
      <c r="D4" s="64" t="n"/>
    </row>
    <row r="5">
      <c r="B5" s="14" t="inlineStr">
        <is>
          <t>Valid until</t>
        </is>
      </c>
      <c r="C5" s="67">
        <f>IF(OR($C$3="",$C$4=""),"",$C$3+$C$4)</f>
        <v>46397</v>
      </c>
      <c r="D5" s="64" t="n"/>
    </row>
    <row r="6">
      <c r="B6" s="14" t="inlineStr">
        <is>
          <t>Reference</t>
        </is>
      </c>
      <c r="C6" s="68" t="inlineStr">
        <is>
          <t>Q-0001</t>
        </is>
      </c>
      <c r="D6" s="64" t="n"/>
    </row>
    <row r="7"/>
    <row r="8" ht="20" customHeight="1">
      <c r="B8" s="4" t="inlineStr">
        <is>
          <t>From</t>
        </is>
      </c>
      <c r="C8" s="5" t="n"/>
      <c r="D8" s="5" t="n"/>
    </row>
    <row r="9">
      <c r="B9" s="14" t="inlineStr">
        <is>
          <t>Your business</t>
        </is>
      </c>
      <c r="C9" s="68" t="inlineStr">
        <is>
          <t>Sample Drywall and Ceilings Co.</t>
        </is>
      </c>
    </row>
    <row r="10">
      <c r="B10" s="14" t="inlineStr">
        <is>
          <t>Contact</t>
        </is>
      </c>
      <c r="C10" s="68" t="inlineStr">
        <is>
          <t>Name, phone and email</t>
        </is>
      </c>
    </row>
    <row r="11" ht="30" customHeight="1">
      <c r="B11" s="14" t="inlineStr">
        <is>
          <t>Address</t>
        </is>
      </c>
      <c r="C11" s="68" t="inlineStr">
        <is>
          <t>Street, town, postcode</t>
        </is>
      </c>
    </row>
    <row r="12"/>
    <row r="13" ht="20" customHeight="1">
      <c r="B13" s="4" t="inlineStr">
        <is>
          <t>To</t>
        </is>
      </c>
      <c r="C13" s="5" t="n"/>
      <c r="D13" s="5" t="n"/>
    </row>
    <row r="14">
      <c r="B14" s="14" t="inlineStr">
        <is>
          <t>Customer</t>
        </is>
      </c>
      <c r="C14" s="68" t="inlineStr">
        <is>
          <t>Sample Customer</t>
        </is>
      </c>
    </row>
    <row r="15" ht="30" customHeight="1">
      <c r="B15" s="14" t="inlineStr">
        <is>
          <t>Address</t>
        </is>
      </c>
      <c r="C15" s="68" t="inlineStr">
        <is>
          <t>Street, town, postcode</t>
        </is>
      </c>
    </row>
    <row r="16"/>
    <row r="17" ht="20" customHeight="1">
      <c r="B17" s="4" t="inlineStr">
        <is>
          <t>Job</t>
        </is>
      </c>
      <c r="C17" s="5" t="n"/>
      <c r="D17" s="5" t="n"/>
    </row>
    <row r="18">
      <c r="B18" s="14" t="inlineStr">
        <is>
          <t>Job</t>
        </is>
      </c>
      <c r="C18" s="69" t="str">
        <f>IF(Rates!$C$6="","",Rates!$C$6)</f>
        <v>Office build-out, drywall and ceilings (example)</v>
      </c>
    </row>
    <row r="19">
      <c r="B19" s="14" t="inlineStr">
        <is>
          <t>Location</t>
        </is>
      </c>
      <c r="C19" s="5" t="str">
        <f>IF(Rates!$C$7="","",Rates!$C$7)</f>
        <v>Denver, CO</v>
      </c>
    </row>
    <row r="20">
      <c r="B20" s="14" t="inlineStr">
        <is>
          <t>Expected length</t>
        </is>
      </c>
      <c r="C20" s="5" t="str">
        <f>IF(Rates!$C$9="","",Rates!$C$9&amp;" weeks")</f>
        <v>12 weeks</v>
      </c>
    </row>
    <row r="21"/>
    <row r="22" ht="20" customHeight="1">
      <c r="B22" s="4" t="inlineStr">
        <is>
          <t>Scope of work</t>
        </is>
      </c>
      <c r="C22" s="5" t="n"/>
      <c r="D22" s="5" t="n"/>
    </row>
    <row r="23" ht="72" customHeight="1">
      <c r="C23" s="66" t="inlineStr">
        <is>
          <t>The drywall and ceilings work listed in our estimate, including materials, labor and equipment. Work areas left clean and tidy at the end of each day.</t>
        </is>
      </c>
      <c r="D23" s="70" t="n"/>
    </row>
    <row r="24"/>
    <row r="25" ht="20" customHeight="1">
      <c r="B25" s="4" t="inlineStr">
        <is>
          <t>Not included</t>
        </is>
      </c>
      <c r="C25" s="5" t="n"/>
      <c r="D25" s="5" t="n"/>
    </row>
    <row r="26" ht="48" customHeight="1">
      <c r="C26" s="66" t="inlineStr">
        <is>
          <t>Anything not listed above. Work by other trades, permits and fees, unless stated above.</t>
        </is>
      </c>
      <c r="D26" s="70" t="n"/>
    </row>
    <row r="27"/>
    <row r="28" ht="20" customHeight="1">
      <c r="B28" s="4" t="inlineStr">
        <is>
          <t>Price</t>
        </is>
      </c>
      <c r="C28" s="5" t="n"/>
      <c r="D28" s="5" t="n"/>
    </row>
    <row r="29" ht="6" customHeight="1"/>
    <row r="30"/>
    <row r="31" ht="28" customHeight="1">
      <c r="B31" s="71" t="inlineStr">
        <is>
          <t>Price</t>
        </is>
      </c>
      <c r="C31" s="72" t="n"/>
      <c r="D31" s="73">
        <f>'Bid summary'!$C$21</f>
        <v>520908.43</v>
      </c>
    </row>
    <row r="32">
      <c r="B32" s="53" t="str">
        <f>IF(N(Rates!$C$39)=0,"Sales tax is not included","Sales tax at "&amp;Rates!$C$39&amp;"%")</f>
        <v>Sales tax is not included</v>
      </c>
      <c r="D32" s="74" t="str">
        <f>IF(N(Rates!$C$39)=0,"",'Bid summary'!$C$22)</f>
        <v/>
      </c>
    </row>
    <row r="33">
      <c r="B33" s="24" t="str">
        <f>IF(N(Rates!$C$39)=0,"","Total including Sales tax")</f>
        <v/>
      </c>
      <c r="D33" s="75" t="str">
        <f>IF(N(Rates!$C$39)=0,"",'Bid summary'!$C$23)</f>
        <v/>
      </c>
    </row>
    <row r="34"/>
    <row r="35" ht="20" customHeight="1">
      <c r="B35" s="4" t="inlineStr">
        <is>
          <t>Terms</t>
        </is>
      </c>
      <c r="C35" s="5" t="n"/>
      <c r="D35" s="5" t="n"/>
    </row>
    <row r="36" ht="60" customHeight="1">
      <c r="C36" s="66" t="inlineStr">
        <is>
          <t>Payment: 30% on acceptance, the balance within 14 days of completion. This price holds until the date above. Changes to the scope are priced before the work starts.</t>
        </is>
      </c>
      <c r="D36" s="70" t="n"/>
    </row>
    <row r="37"/>
    <row r="38" ht="20" customHeight="1">
      <c r="B38" s="4" t="inlineStr">
        <is>
          <t>Acceptance</t>
        </is>
      </c>
      <c r="C38" s="5" t="n"/>
      <c r="D38" s="5" t="n"/>
    </row>
    <row r="39" ht="26" customHeight="1">
      <c r="B39" s="14" t="inlineStr">
        <is>
          <t>Signed for the customer</t>
        </is>
      </c>
      <c r="C39" s="76" t="n"/>
      <c r="D39" s="76" t="n"/>
    </row>
    <row r="40" ht="12" customHeight="1">
      <c r="C40" s="77" t="inlineStr">
        <is>
          <t>Name and signature</t>
        </is>
      </c>
      <c r="D40" s="77" t="inlineStr">
        <is>
          <t>Date</t>
        </is>
      </c>
    </row>
    <row r="41" ht="26" customHeight="1">
      <c r="B41" s="14" t="inlineStr">
        <is>
          <t>Signed for Sample Drywall and Ceilings Co.</t>
        </is>
      </c>
      <c r="C41" s="76" t="n"/>
      <c r="D41" s="76" t="n"/>
    </row>
    <row r="42" ht="12" customHeight="1">
      <c r="C42" s="77" t="inlineStr">
        <is>
          <t>Name and signature</t>
        </is>
      </c>
      <c r="D42" s="77" t="inlineStr">
        <is>
          <t>Date</t>
        </is>
      </c>
    </row>
    <row r="43"/>
    <row r="44">
      <c r="B44" s="78"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drywall and ceilings,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01 100</t>
        </is>
      </c>
      <c r="C7" s="30" t="inlineStr">
        <is>
          <t>Project management and supervision</t>
        </is>
      </c>
      <c r="D7" s="30" t="inlineStr">
        <is>
          <t>wk</t>
        </is>
      </c>
    </row>
    <row r="8" ht="16.5" customHeight="1">
      <c r="B8" s="30" t="inlineStr">
        <is>
          <t>01 110</t>
        </is>
      </c>
      <c r="C8" s="30" t="inlineStr">
        <is>
          <t>Mobilization and demobilization</t>
        </is>
      </c>
      <c r="D8" s="30" t="inlineStr">
        <is>
          <t>ls</t>
        </is>
      </c>
    </row>
    <row r="9" ht="16.5" customHeight="1">
      <c r="B9" s="30" t="inlineStr">
        <is>
          <t>01 120</t>
        </is>
      </c>
      <c r="C9" s="30" t="inlineStr">
        <is>
          <t>Site office and storage</t>
        </is>
      </c>
      <c r="D9" s="30" t="inlineStr">
        <is>
          <t>wk</t>
        </is>
      </c>
    </row>
    <row r="10" ht="16.5" customHeight="1">
      <c r="B10" s="30" t="inlineStr">
        <is>
          <t>01 130</t>
        </is>
      </c>
      <c r="C10" s="30" t="inlineStr">
        <is>
          <t>Temporary power and lighting</t>
        </is>
      </c>
      <c r="D10" s="30" t="inlineStr">
        <is>
          <t>wk</t>
        </is>
      </c>
    </row>
    <row r="11" ht="16.5" customHeight="1">
      <c r="B11" s="30" t="inlineStr">
        <is>
          <t>01 140</t>
        </is>
      </c>
      <c r="C11" s="30" t="inlineStr">
        <is>
          <t>Temporary heat and ventilation</t>
        </is>
      </c>
      <c r="D11" s="30" t="inlineStr">
        <is>
          <t>wk</t>
        </is>
      </c>
    </row>
    <row r="12" ht="16.5" customHeight="1">
      <c r="B12" s="30" t="inlineStr">
        <is>
          <t>01 150</t>
        </is>
      </c>
      <c r="C12" s="30" t="inlineStr">
        <is>
          <t>Washrooms and handwashing</t>
        </is>
      </c>
      <c r="D12" s="30" t="inlineStr">
        <is>
          <t>wk</t>
        </is>
      </c>
    </row>
    <row r="13" ht="16.5" customHeight="1">
      <c r="B13" s="30" t="inlineStr">
        <is>
          <t>01 160</t>
        </is>
      </c>
      <c r="C13" s="30" t="inlineStr">
        <is>
          <t>Fencing and signs</t>
        </is>
      </c>
      <c r="D13" s="30" t="inlineStr">
        <is>
          <t>ls</t>
        </is>
      </c>
    </row>
    <row r="14" ht="16.5" customHeight="1">
      <c r="B14" s="30" t="inlineStr">
        <is>
          <t>01 170</t>
        </is>
      </c>
      <c r="C14" s="30" t="inlineStr">
        <is>
          <t>Safety plan and training</t>
        </is>
      </c>
      <c r="D14" s="30" t="inlineStr">
        <is>
          <t>ls</t>
        </is>
      </c>
    </row>
    <row r="15" ht="16.5" customHeight="1">
      <c r="B15" s="30" t="inlineStr">
        <is>
          <t>01 180</t>
        </is>
      </c>
      <c r="C15" s="30" t="inlineStr">
        <is>
          <t>Safety gear and first aid</t>
        </is>
      </c>
      <c r="D15" s="30" t="inlineStr">
        <is>
          <t>ls</t>
        </is>
      </c>
    </row>
    <row r="16" ht="16.5" customHeight="1">
      <c r="B16" s="30" t="inlineStr">
        <is>
          <t>01 190</t>
        </is>
      </c>
      <c r="C16" s="30" t="inlineStr">
        <is>
          <t>Permits and fees</t>
        </is>
      </c>
      <c r="D16" s="30" t="inlineStr">
        <is>
          <t>ls</t>
        </is>
      </c>
    </row>
    <row r="17" ht="16.5" customHeight="1">
      <c r="B17" s="30" t="inlineStr">
        <is>
          <t>01 200</t>
        </is>
      </c>
      <c r="C17" s="30" t="inlineStr">
        <is>
          <t>Insurance and bonds</t>
        </is>
      </c>
      <c r="D17" s="30" t="inlineStr">
        <is>
          <t>ls</t>
        </is>
      </c>
    </row>
    <row r="18" ht="16.5" customHeight="1">
      <c r="B18" s="30" t="inlineStr">
        <is>
          <t>01 210</t>
        </is>
      </c>
      <c r="C18" s="30" t="inlineStr">
        <is>
          <t>Layout and surveying</t>
        </is>
      </c>
      <c r="D18" s="30" t="inlineStr">
        <is>
          <t>day</t>
        </is>
      </c>
    </row>
    <row r="19" ht="16.5" customHeight="1">
      <c r="B19" s="30" t="inlineStr">
        <is>
          <t>01 220</t>
        </is>
      </c>
      <c r="C19" s="30" t="inlineStr">
        <is>
          <t>Scaffold and access equipment</t>
        </is>
      </c>
      <c r="D19" s="30" t="inlineStr">
        <is>
          <t>wk</t>
        </is>
      </c>
    </row>
    <row r="20" ht="16.5" customHeight="1">
      <c r="B20" s="30" t="inlineStr">
        <is>
          <t>01 230</t>
        </is>
      </c>
      <c r="C20" s="30" t="inlineStr">
        <is>
          <t>Hoisting and deliveries</t>
        </is>
      </c>
      <c r="D20" s="30" t="inlineStr">
        <is>
          <t>day</t>
        </is>
      </c>
    </row>
    <row r="21" ht="16.5" customHeight="1">
      <c r="B21" s="30" t="inlineStr">
        <is>
          <t>01 240</t>
        </is>
      </c>
      <c r="C21" s="30" t="inlineStr">
        <is>
          <t>Dumpsters and waste removal</t>
        </is>
      </c>
      <c r="D21" s="30" t="inlineStr">
        <is>
          <t>ea</t>
        </is>
      </c>
    </row>
    <row r="22" ht="16.5" customHeight="1">
      <c r="B22" s="30" t="inlineStr">
        <is>
          <t>01 250</t>
        </is>
      </c>
      <c r="C22" s="30" t="inlineStr">
        <is>
          <t>Daily cleaning</t>
        </is>
      </c>
      <c r="D22" s="30" t="inlineStr">
        <is>
          <t>wk</t>
        </is>
      </c>
    </row>
    <row r="23" ht="16.5" customHeight="1">
      <c r="B23" s="30" t="inlineStr">
        <is>
          <t>01 260</t>
        </is>
      </c>
      <c r="C23" s="30" t="inlineStr">
        <is>
          <t>Final cleaning</t>
        </is>
      </c>
      <c r="D23" s="30" t="inlineStr">
        <is>
          <t>ls</t>
        </is>
      </c>
    </row>
    <row r="24" ht="16.5" customHeight="1">
      <c r="B24" s="30" t="inlineStr">
        <is>
          <t>01 270</t>
        </is>
      </c>
      <c r="C24" s="30" t="inlineStr">
        <is>
          <t>Protection of existing floors and finishes</t>
        </is>
      </c>
      <c r="D24" s="30" t="inlineStr">
        <is>
          <t>ls</t>
        </is>
      </c>
    </row>
    <row r="25" ht="16.5" customHeight="1">
      <c r="B25" s="30" t="inlineStr">
        <is>
          <t>01 280</t>
        </is>
      </c>
      <c r="C25" s="30" t="inlineStr">
        <is>
          <t>Site vehicles and fuel</t>
        </is>
      </c>
      <c r="D25" s="30" t="inlineStr">
        <is>
          <t>ls</t>
        </is>
      </c>
    </row>
    <row r="26" ht="16.5" customHeight="1">
      <c r="B26" s="30" t="inlineStr">
        <is>
          <t>01 290</t>
        </is>
      </c>
      <c r="C26" s="30" t="inlineStr">
        <is>
          <t>Small tools and supplies</t>
        </is>
      </c>
      <c r="D26" s="30" t="inlineStr">
        <is>
          <t>ls</t>
        </is>
      </c>
    </row>
    <row r="27" ht="16.5" customHeight="1">
      <c r="B27" s="30" t="inlineStr">
        <is>
          <t>01 300</t>
        </is>
      </c>
      <c r="C27" s="30" t="inlineStr">
        <is>
          <t>Drawings and submittals</t>
        </is>
      </c>
      <c r="D27" s="30" t="inlineStr">
        <is>
          <t>ls</t>
        </is>
      </c>
    </row>
    <row r="28" ht="16.5" customHeight="1">
      <c r="B28" s="30" t="inlineStr">
        <is>
          <t>01 310</t>
        </is>
      </c>
      <c r="C28" s="30" t="inlineStr">
        <is>
          <t>Testing and inspections</t>
        </is>
      </c>
      <c r="D28" s="30" t="inlineStr">
        <is>
          <t>ls</t>
        </is>
      </c>
    </row>
    <row r="29" ht="16.5" customHeight="1">
      <c r="B29" s="30" t="inlineStr">
        <is>
          <t>01 320</t>
        </is>
      </c>
      <c r="C29" s="30" t="inlineStr">
        <is>
          <t>Handover documents and manuals</t>
        </is>
      </c>
      <c r="D29" s="30" t="inlineStr">
        <is>
          <t>ls</t>
        </is>
      </c>
    </row>
    <row r="30" ht="16.5" customHeight="1">
      <c r="B30" s="30" t="inlineStr">
        <is>
          <t>01 330</t>
        </is>
      </c>
      <c r="C30" s="30" t="inlineStr">
        <is>
          <t>Warranty and call backs</t>
        </is>
      </c>
      <c r="D30" s="30" t="inlineStr">
        <is>
          <t>ls</t>
        </is>
      </c>
    </row>
    <row r="31" ht="16.5" customHeight="1">
      <c r="B31" s="30" t="inlineStr">
        <is>
          <t>01 340</t>
        </is>
      </c>
      <c r="C31" s="30" t="inlineStr">
        <is>
          <t>Allowances</t>
        </is>
      </c>
      <c r="D31" s="30" t="inlineStr">
        <is>
          <t>ls</t>
        </is>
      </c>
    </row>
    <row r="32" ht="16.5" customHeight="1">
      <c r="B32" s="30" t="inlineStr">
        <is>
          <t>01 350</t>
        </is>
      </c>
      <c r="C32" s="30" t="inlineStr">
        <is>
          <t>Overtime and premium time</t>
        </is>
      </c>
      <c r="D32" s="30" t="inlineStr">
        <is>
          <t>hr</t>
        </is>
      </c>
    </row>
    <row r="33" ht="16.5" customHeight="1">
      <c r="B33" s="30" t="inlineStr">
        <is>
          <t>01 360</t>
        </is>
      </c>
      <c r="C33" s="30" t="inlineStr">
        <is>
          <t>Weather protection</t>
        </is>
      </c>
      <c r="D33" s="30" t="inlineStr">
        <is>
          <t>ls</t>
        </is>
      </c>
    </row>
    <row r="34" ht="16.5" customHeight="1">
      <c r="B34" s="30" t="inlineStr">
        <is>
          <t>01 370</t>
        </is>
      </c>
      <c r="C34" s="30" t="inlineStr">
        <is>
          <t>Meetings and site paperwork</t>
        </is>
      </c>
      <c r="D34" s="30" t="inlineStr">
        <is>
          <t>hr</t>
        </is>
      </c>
    </row>
    <row r="35" ht="16.5" customHeight="1">
      <c r="B35" s="30" t="inlineStr">
        <is>
          <t>09 100</t>
        </is>
      </c>
      <c r="C35" s="30" t="inlineStr">
        <is>
          <t>Metal stud walls</t>
        </is>
      </c>
      <c r="D35" s="30" t="inlineStr">
        <is>
          <t>SF</t>
        </is>
      </c>
    </row>
    <row r="36" ht="16.5" customHeight="1">
      <c r="B36" s="30" t="inlineStr">
        <is>
          <t>09 110</t>
        </is>
      </c>
      <c r="C36" s="30" t="inlineStr">
        <is>
          <t>Wood stud walls</t>
        </is>
      </c>
      <c r="D36" s="30" t="inlineStr">
        <is>
          <t>SF</t>
        </is>
      </c>
    </row>
    <row r="37" ht="16.5" customHeight="1">
      <c r="B37" s="30" t="inlineStr">
        <is>
          <t>09 120</t>
        </is>
      </c>
      <c r="C37" s="30" t="inlineStr">
        <is>
          <t>Furring and strapping on existing walls</t>
        </is>
      </c>
      <c r="D37" s="30" t="inlineStr">
        <is>
          <t>SF</t>
        </is>
      </c>
    </row>
    <row r="38" ht="16.5" customHeight="1">
      <c r="B38" s="30" t="inlineStr">
        <is>
          <t>09 130</t>
        </is>
      </c>
      <c r="C38" s="30" t="inlineStr">
        <is>
          <t>Bulkheads and boxed in sections</t>
        </is>
      </c>
      <c r="D38" s="30" t="inlineStr">
        <is>
          <t>LF</t>
        </is>
      </c>
    </row>
    <row r="39" ht="16.5" customHeight="1">
      <c r="B39" s="30" t="inlineStr">
        <is>
          <t>09 140</t>
        </is>
      </c>
      <c r="C39" s="30" t="inlineStr">
        <is>
          <t>Fire rated and shaft wall framing</t>
        </is>
      </c>
      <c r="D39" s="30" t="inlineStr">
        <is>
          <t>SF</t>
        </is>
      </c>
    </row>
    <row r="40" ht="16.5" customHeight="1">
      <c r="B40" s="30" t="inlineStr">
        <is>
          <t>09 150</t>
        </is>
      </c>
      <c r="C40" s="30" t="inlineStr">
        <is>
          <t>Door and window opening framing</t>
        </is>
      </c>
      <c r="D40" s="30" t="inlineStr">
        <is>
          <t>ea</t>
        </is>
      </c>
    </row>
    <row r="41" ht="16.5" customHeight="1">
      <c r="B41" s="30" t="inlineStr">
        <is>
          <t>09 160</t>
        </is>
      </c>
      <c r="C41" s="30" t="inlineStr">
        <is>
          <t>Blocking and backing for fixtures</t>
        </is>
      </c>
      <c r="D41" s="30" t="inlineStr">
        <is>
          <t>LF</t>
        </is>
      </c>
    </row>
    <row r="42" ht="16.5" customHeight="1">
      <c r="B42" s="30" t="inlineStr">
        <is>
          <t>09 200</t>
        </is>
      </c>
      <c r="C42" s="30" t="inlineStr">
        <is>
          <t>Board on walls one layer</t>
        </is>
      </c>
      <c r="D42" s="30" t="inlineStr">
        <is>
          <t>SF</t>
        </is>
      </c>
    </row>
    <row r="43" ht="16.5" customHeight="1">
      <c r="B43" s="30" t="inlineStr">
        <is>
          <t>09 210</t>
        </is>
      </c>
      <c r="C43" s="30" t="inlineStr">
        <is>
          <t>Board on walls extra layer</t>
        </is>
      </c>
      <c r="D43" s="30" t="inlineStr">
        <is>
          <t>SF</t>
        </is>
      </c>
    </row>
    <row r="44" ht="16.5" customHeight="1">
      <c r="B44" s="30" t="inlineStr">
        <is>
          <t>09 220</t>
        </is>
      </c>
      <c r="C44" s="30" t="inlineStr">
        <is>
          <t>Board on ceilings</t>
        </is>
      </c>
      <c r="D44" s="30" t="inlineStr">
        <is>
          <t>SF</t>
        </is>
      </c>
    </row>
    <row r="45" ht="16.5" customHeight="1">
      <c r="B45" s="30" t="inlineStr">
        <is>
          <t>09 230</t>
        </is>
      </c>
      <c r="C45" s="30" t="inlineStr">
        <is>
          <t>Moisture resistant board</t>
        </is>
      </c>
      <c r="D45" s="30" t="inlineStr">
        <is>
          <t>SF</t>
        </is>
      </c>
    </row>
    <row r="46" ht="16.5" customHeight="1">
      <c r="B46" s="30" t="inlineStr">
        <is>
          <t>09 240</t>
        </is>
      </c>
      <c r="C46" s="30" t="inlineStr">
        <is>
          <t>Fire rated board</t>
        </is>
      </c>
      <c r="D46" s="30" t="inlineStr">
        <is>
          <t>SF</t>
        </is>
      </c>
    </row>
    <row r="47" ht="16.5" customHeight="1">
      <c r="B47" s="30" t="inlineStr">
        <is>
          <t>09 250</t>
        </is>
      </c>
      <c r="C47" s="30" t="inlineStr">
        <is>
          <t>Sound rated wall assemblies</t>
        </is>
      </c>
      <c r="D47" s="30" t="inlineStr">
        <is>
          <t>SF</t>
        </is>
      </c>
    </row>
    <row r="48" ht="16.5" customHeight="1">
      <c r="B48" s="30" t="inlineStr">
        <is>
          <t>09 260</t>
        </is>
      </c>
      <c r="C48" s="30" t="inlineStr">
        <is>
          <t>Cement board for tile areas</t>
        </is>
      </c>
      <c r="D48" s="30" t="inlineStr">
        <is>
          <t>SF</t>
        </is>
      </c>
    </row>
    <row r="49" ht="16.5" customHeight="1">
      <c r="B49" s="30" t="inlineStr">
        <is>
          <t>09 270</t>
        </is>
      </c>
      <c r="C49" s="30" t="inlineStr">
        <is>
          <t>Curved and arched work</t>
        </is>
      </c>
      <c r="D49" s="30" t="inlineStr">
        <is>
          <t>LF</t>
        </is>
      </c>
    </row>
    <row r="50" ht="16.5" customHeight="1">
      <c r="B50" s="30" t="inlineStr">
        <is>
          <t>09 280</t>
        </is>
      </c>
      <c r="C50" s="30" t="inlineStr">
        <is>
          <t>Patching and repairs</t>
        </is>
      </c>
      <c r="D50" s="30" t="inlineStr">
        <is>
          <t>hr</t>
        </is>
      </c>
    </row>
    <row r="51" ht="16.5" customHeight="1">
      <c r="B51" s="30" t="inlineStr">
        <is>
          <t>09 300</t>
        </is>
      </c>
      <c r="C51" s="30" t="inlineStr">
        <is>
          <t>Wall insulation batts</t>
        </is>
      </c>
      <c r="D51" s="30" t="inlineStr">
        <is>
          <t>SF</t>
        </is>
      </c>
    </row>
    <row r="52" ht="16.5" customHeight="1">
      <c r="B52" s="30" t="inlineStr">
        <is>
          <t>09 310</t>
        </is>
      </c>
      <c r="C52" s="30" t="inlineStr">
        <is>
          <t>Sound insulation batts</t>
        </is>
      </c>
      <c r="D52" s="30" t="inlineStr">
        <is>
          <t>SF</t>
        </is>
      </c>
    </row>
    <row r="53" ht="16.5" customHeight="1">
      <c r="B53" s="30" t="inlineStr">
        <is>
          <t>09 320</t>
        </is>
      </c>
      <c r="C53" s="30" t="inlineStr">
        <is>
          <t>Fire stopping at pipes and cables</t>
        </is>
      </c>
      <c r="D53" s="30" t="inlineStr">
        <is>
          <t>ea</t>
        </is>
      </c>
    </row>
    <row r="54" ht="16.5" customHeight="1">
      <c r="B54" s="30" t="inlineStr">
        <is>
          <t>09 330</t>
        </is>
      </c>
      <c r="C54" s="30" t="inlineStr">
        <is>
          <t>Acoustic sealant at edges</t>
        </is>
      </c>
      <c r="D54" s="30" t="inlineStr">
        <is>
          <t>LF</t>
        </is>
      </c>
    </row>
    <row r="55" ht="16.5" customHeight="1">
      <c r="B55" s="30" t="inlineStr">
        <is>
          <t>09 400</t>
        </is>
      </c>
      <c r="C55" s="30" t="inlineStr">
        <is>
          <t>Tape and joint compound standard finish</t>
        </is>
      </c>
      <c r="D55" s="30" t="inlineStr">
        <is>
          <t>SF</t>
        </is>
      </c>
    </row>
    <row r="56" ht="16.5" customHeight="1">
      <c r="B56" s="30" t="inlineStr">
        <is>
          <t>09 410</t>
        </is>
      </c>
      <c r="C56" s="30" t="inlineStr">
        <is>
          <t>Skim coat over whole surface</t>
        </is>
      </c>
      <c r="D56" s="30" t="inlineStr">
        <is>
          <t>SF</t>
        </is>
      </c>
    </row>
    <row r="57" ht="16.5" customHeight="1">
      <c r="B57" s="30" t="inlineStr">
        <is>
          <t>09 420</t>
        </is>
      </c>
      <c r="C57" s="30" t="inlineStr">
        <is>
          <t>Spray or hand texture</t>
        </is>
      </c>
      <c r="D57" s="30" t="inlineStr">
        <is>
          <t>SF</t>
        </is>
      </c>
    </row>
    <row r="58" ht="16.5" customHeight="1">
      <c r="B58" s="30" t="inlineStr">
        <is>
          <t>09 430</t>
        </is>
      </c>
      <c r="C58" s="30" t="inlineStr">
        <is>
          <t>Corner bead and trim</t>
        </is>
      </c>
      <c r="D58" s="30" t="inlineStr">
        <is>
          <t>LF</t>
        </is>
      </c>
    </row>
    <row r="59" ht="16.5" customHeight="1">
      <c r="B59" s="30" t="inlineStr">
        <is>
          <t>09 440</t>
        </is>
      </c>
      <c r="C59" s="30" t="inlineStr">
        <is>
          <t>Sanding and touch ups</t>
        </is>
      </c>
      <c r="D59" s="30" t="inlineStr">
        <is>
          <t>hr</t>
        </is>
      </c>
    </row>
    <row r="60" ht="16.5" customHeight="1">
      <c r="B60" s="30" t="inlineStr">
        <is>
          <t>09 500</t>
        </is>
      </c>
      <c r="C60" s="30" t="inlineStr">
        <is>
          <t>Suspended ceiling grid</t>
        </is>
      </c>
      <c r="D60" s="30" t="inlineStr">
        <is>
          <t>SF</t>
        </is>
      </c>
    </row>
    <row r="61" ht="16.5" customHeight="1">
      <c r="B61" s="30" t="inlineStr">
        <is>
          <t>09 510</t>
        </is>
      </c>
      <c r="C61" s="30" t="inlineStr">
        <is>
          <t>Lay in ceiling tiles</t>
        </is>
      </c>
      <c r="D61" s="30" t="inlineStr">
        <is>
          <t>SF</t>
        </is>
      </c>
    </row>
    <row r="62" ht="16.5" customHeight="1">
      <c r="B62" s="30" t="inlineStr">
        <is>
          <t>09 520</t>
        </is>
      </c>
      <c r="C62" s="30" t="inlineStr">
        <is>
          <t>Acoustic and specialty ceiling panels</t>
        </is>
      </c>
      <c r="D62" s="30" t="inlineStr">
        <is>
          <t>SF</t>
        </is>
      </c>
    </row>
    <row r="63" ht="16.5" customHeight="1">
      <c r="B63" s="30" t="inlineStr">
        <is>
          <t>09 530</t>
        </is>
      </c>
      <c r="C63" s="30" t="inlineStr">
        <is>
          <t>Perimeter trim and shadow gap</t>
        </is>
      </c>
      <c r="D63" s="30" t="inlineStr">
        <is>
          <t>LF</t>
        </is>
      </c>
    </row>
    <row r="64" ht="16.5" customHeight="1">
      <c r="B64" s="30" t="inlineStr">
        <is>
          <t>09 540</t>
        </is>
      </c>
      <c r="C64" s="30" t="inlineStr">
        <is>
          <t>Access panels and hatches</t>
        </is>
      </c>
      <c r="D64" s="30" t="inlineStr">
        <is>
          <t>ea</t>
        </is>
      </c>
    </row>
    <row r="65" ht="16.5" customHeight="1">
      <c r="B65" s="30" t="inlineStr">
        <is>
          <t>09 550</t>
        </is>
      </c>
      <c r="C65" s="30" t="inlineStr">
        <is>
          <t>Cut outs for lights and vents</t>
        </is>
      </c>
      <c r="D65" s="30" t="inlineStr">
        <is>
          <t>ea</t>
        </is>
      </c>
    </row>
    <row r="66" ht="16.5" customHeight="1">
      <c r="B66" s="30" t="inlineStr">
        <is>
          <t>09 600</t>
        </is>
      </c>
      <c r="C66" s="30" t="inlineStr">
        <is>
          <t>Floor and surface protection</t>
        </is>
      </c>
      <c r="D66" s="30" t="inlineStr">
        <is>
          <t>ls</t>
        </is>
      </c>
    </row>
    <row r="67" ht="16.5" customHeight="1">
      <c r="B67" s="30" t="inlineStr">
        <is>
          <t>09 610</t>
        </is>
      </c>
      <c r="C67" s="30" t="inlineStr">
        <is>
          <t>Cleanup and waste removal</t>
        </is>
      </c>
      <c r="D67" s="30" t="inlineStr">
        <is>
          <t>ls</t>
        </is>
      </c>
    </row>
    <row r="68" ht="16.5" customHeight="1">
      <c r="B68" s="30" t="inlineStr">
        <is>
          <t>09 620</t>
        </is>
      </c>
      <c r="C68" s="30" t="inlineStr">
        <is>
          <t>Mobile scaffold and lift time</t>
        </is>
      </c>
      <c r="D68" s="30" t="inlineStr">
        <is>
          <t>day</t>
        </is>
      </c>
    </row>
    <row r="69" ht="16.5" customHeight="1">
      <c r="B69" s="30" t="inlineStr">
        <is>
          <t>09 630</t>
        </is>
      </c>
      <c r="C69" s="30" t="inlineStr">
        <is>
          <t>Fasteners and small supplies</t>
        </is>
      </c>
      <c r="D69" s="30" t="inlineStr">
        <is>
          <t>ls</t>
        </is>
      </c>
    </row>
    <row r="70" ht="16.5" customHeight="1">
      <c r="B70" s="30" t="inlineStr">
        <is>
          <t>09 640</t>
        </is>
      </c>
      <c r="C70" s="30" t="inlineStr">
        <is>
          <t>Extra work paid by the hour</t>
        </is>
      </c>
      <c r="D70" s="30" t="inlineStr">
        <is>
          <t>hr</t>
        </is>
      </c>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79" t="inlineStr">
        <is>
          <t>Free to use for your own bids. Change it to suit your business. Please don't resell it or hand it out as your own list.</t>
        </is>
      </c>
    </row>
    <row r="79" ht="28" customHeight="1">
      <c r="B79" s="79"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Drywall and ceilings estimate (United States, worked example)</dc:title>
  <dcterms:created xmlns:dcterms="http://purl.org/dc/terms/" xmlns:xsi="http://www.w3.org/2001/XMLSchema-instance" xsi:type="dcterms:W3CDTF">2026-10-29T05:56:18Z</dcterms:created>
  <dcterms:modified xmlns:dcterms="http://purl.org/dc/terms/" xmlns:xsi="http://www.w3.org/2001/XMLSchema-instance" xsi:type="dcterms:W3CDTF">2026-10-29T05:56:18Z</dcterms:modified>
  <cp:keywords>estimating spreadsheet, free, Bidfident</cp:keywords>
</cp:coreProperties>
</file>